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36" yWindow="65296" windowWidth="12936" windowHeight="12552" tabRatio="800" activeTab="0"/>
  </bookViews>
  <sheets>
    <sheet name="аналіз фінансування 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 '!$3:$5</definedName>
    <definedName name="_xlnm.Print_Area" localSheetId="0">'аналіз фінансування '!$A$1:$I$108</definedName>
  </definedNames>
  <calcPr fullCalcOnLoad="1"/>
</workbook>
</file>

<file path=xl/sharedStrings.xml><?xml version="1.0" encoding="utf-8"?>
<sst xmlns="http://schemas.openxmlformats.org/spreadsheetml/2006/main" count="130" uniqueCount="75">
  <si>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</si>
  <si>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</si>
  <si>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</si>
  <si>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</si>
  <si>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</si>
  <si>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</si>
  <si>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</si>
  <si>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</si>
  <si>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</si>
  <si>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</si>
  <si>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</si>
  <si>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</si>
  <si>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</si>
  <si>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</si>
  <si>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</si>
  <si>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</si>
  <si>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</si>
  <si>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</si>
  <si>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</si>
  <si>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</si>
  <si>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</si>
  <si>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</si>
  <si>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</si>
  <si>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</si>
  <si>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</si>
  <si>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</si>
  <si>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</si>
  <si>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план</t>
  </si>
  <si>
    <t>факт</t>
  </si>
  <si>
    <t>Видатки всього</t>
  </si>
  <si>
    <t>програма здійснення заходів щодо мобілізації коштів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</si>
  <si>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</si>
  <si>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</si>
  <si>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</si>
  <si>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</si>
  <si>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</si>
  <si>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в т.ч. заробітна плата</t>
  </si>
  <si>
    <t>трансферти населенню</t>
  </si>
  <si>
    <t>Передача коштів до бюджету розвитку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</si>
  <si>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</si>
  <si>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</si>
  <si>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</si>
  <si>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</si>
  <si>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</si>
  <si>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</si>
  <si>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Надання пільгового довгострокового кредиту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</si>
  <si>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</si>
  <si>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</si>
  <si>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</si>
  <si>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</si>
  <si>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</si>
  <si>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</si>
  <si>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Програма розвитку земельних відносин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</si>
  <si>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</si>
  <si>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</si>
  <si>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</si>
  <si>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</si>
  <si>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</si>
  <si>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</si>
  <si>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</si>
  <si>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розроблнння стратегічного плану розвитку м. Черкаси</t>
  </si>
  <si>
    <t>Програма сприяння залученню інвестицій</t>
  </si>
  <si>
    <t>Членські внески до асоціацій ОМС</t>
  </si>
  <si>
    <t>Програма здійсн.зах., що не передб.в бюджеті</t>
  </si>
  <si>
    <t>Обслуговування цінних паперів</t>
  </si>
  <si>
    <t>Теріторіальний та реабілітаційний центри</t>
  </si>
  <si>
    <t>План на рік, тис.грн.</t>
  </si>
  <si>
    <t>Відсоток виконання плану на рік</t>
  </si>
  <si>
    <t>Відхилення від плану на рік, тис.грн.</t>
  </si>
  <si>
    <t>Відсоток виконання  плану 4 місяців</t>
  </si>
  <si>
    <t>Відхилення від  плану 4 місяців, тис.грн.</t>
  </si>
  <si>
    <t>План на 4 місяці тис.грн.</t>
  </si>
  <si>
    <t>Аналіз використання коштів загального фонду міського бюджету станом на 30.04.2020 року</t>
  </si>
  <si>
    <t>План</t>
  </si>
  <si>
    <t>Факт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</si>
</sst>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%"/>
    <numFmt numFmtId="197" formatCode="0.0"/>
    <numFmt numFmtId="198" formatCode="#,##0.0"/>
    <numFmt numFmtId="199" formatCode="#,##0.0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\ ##0.0"/>
  </numFmts>
  <fonts count="7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56" fillId="0" borderId="0">
      <alignment/>
      <protection/>
    </xf>
    <xf numFmtId="0" fontId="30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165">
    <xf numFmtId="0" fontId="0" fillId="0" borderId="0" xfId="0" applyAlignment="1">
      <alignment/>
    </xf>
    <xf numFmtId="197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97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97" fontId="6" fillId="0" borderId="0" xfId="0" applyNumberFormat="1" applyFont="1" applyAlignment="1">
      <alignment/>
    </xf>
    <xf numFmtId="197" fontId="4" fillId="0" borderId="10" xfId="0" applyNumberFormat="1" applyFont="1" applyFill="1" applyBorder="1" applyAlignment="1">
      <alignment/>
    </xf>
    <xf numFmtId="197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197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197" fontId="4" fillId="32" borderId="11" xfId="0" applyNumberFormat="1" applyFont="1" applyFill="1" applyBorder="1" applyAlignment="1">
      <alignment horizontal="center"/>
    </xf>
    <xf numFmtId="2" fontId="4" fillId="32" borderId="11" xfId="0" applyNumberFormat="1" applyFont="1" applyFill="1" applyBorder="1" applyAlignment="1">
      <alignment/>
    </xf>
    <xf numFmtId="197" fontId="4" fillId="0" borderId="1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197" fontId="5" fillId="0" borderId="11" xfId="0" applyNumberFormat="1" applyFont="1" applyFill="1" applyBorder="1" applyAlignment="1">
      <alignment/>
    </xf>
    <xf numFmtId="198" fontId="3" fillId="0" borderId="12" xfId="0" applyNumberFormat="1" applyFont="1" applyFill="1" applyBorder="1" applyAlignment="1">
      <alignment wrapText="1"/>
    </xf>
    <xf numFmtId="198" fontId="3" fillId="0" borderId="12" xfId="0" applyNumberFormat="1" applyFont="1" applyFill="1" applyBorder="1" applyAlignment="1">
      <alignment/>
    </xf>
    <xf numFmtId="198" fontId="3" fillId="0" borderId="10" xfId="0" applyNumberFormat="1" applyFont="1" applyFill="1" applyBorder="1" applyAlignment="1">
      <alignment/>
    </xf>
    <xf numFmtId="198" fontId="4" fillId="32" borderId="13" xfId="0" applyNumberFormat="1" applyFont="1" applyFill="1" applyBorder="1" applyAlignment="1">
      <alignment wrapText="1"/>
    </xf>
    <xf numFmtId="198" fontId="4" fillId="32" borderId="13" xfId="0" applyNumberFormat="1" applyFont="1" applyFill="1" applyBorder="1" applyAlignment="1">
      <alignment/>
    </xf>
    <xf numFmtId="198" fontId="4" fillId="32" borderId="11" xfId="0" applyNumberFormat="1" applyFont="1" applyFill="1" applyBorder="1" applyAlignment="1">
      <alignment/>
    </xf>
    <xf numFmtId="198" fontId="3" fillId="0" borderId="10" xfId="0" applyNumberFormat="1" applyFont="1" applyFill="1" applyBorder="1" applyAlignment="1">
      <alignment horizontal="right"/>
    </xf>
    <xf numFmtId="198" fontId="4" fillId="32" borderId="11" xfId="0" applyNumberFormat="1" applyFont="1" applyFill="1" applyBorder="1" applyAlignment="1">
      <alignment horizontal="right"/>
    </xf>
    <xf numFmtId="198" fontId="5" fillId="0" borderId="12" xfId="0" applyNumberFormat="1" applyFont="1" applyFill="1" applyBorder="1" applyAlignment="1">
      <alignment wrapText="1"/>
    </xf>
    <xf numFmtId="198" fontId="5" fillId="0" borderId="10" xfId="0" applyNumberFormat="1" applyFont="1" applyFill="1" applyBorder="1" applyAlignment="1">
      <alignment/>
    </xf>
    <xf numFmtId="198" fontId="5" fillId="32" borderId="13" xfId="0" applyNumberFormat="1" applyFont="1" applyFill="1" applyBorder="1" applyAlignment="1">
      <alignment wrapText="1"/>
    </xf>
    <xf numFmtId="198" fontId="5" fillId="0" borderId="13" xfId="0" applyNumberFormat="1" applyFont="1" applyFill="1" applyBorder="1" applyAlignment="1">
      <alignment wrapText="1"/>
    </xf>
    <xf numFmtId="198" fontId="4" fillId="0" borderId="13" xfId="0" applyNumberFormat="1" applyFont="1" applyFill="1" applyBorder="1" applyAlignment="1">
      <alignment/>
    </xf>
    <xf numFmtId="198" fontId="4" fillId="0" borderId="11" xfId="0" applyNumberFormat="1" applyFont="1" applyFill="1" applyBorder="1" applyAlignment="1">
      <alignment/>
    </xf>
    <xf numFmtId="198" fontId="4" fillId="0" borderId="12" xfId="0" applyNumberFormat="1" applyFont="1" applyFill="1" applyBorder="1" applyAlignment="1">
      <alignment/>
    </xf>
    <xf numFmtId="198" fontId="4" fillId="0" borderId="10" xfId="0" applyNumberFormat="1" applyFont="1" applyFill="1" applyBorder="1" applyAlignment="1">
      <alignment/>
    </xf>
    <xf numFmtId="198" fontId="5" fillId="0" borderId="11" xfId="0" applyNumberFormat="1" applyFont="1" applyFill="1" applyBorder="1" applyAlignment="1">
      <alignment/>
    </xf>
    <xf numFmtId="198" fontId="7" fillId="0" borderId="12" xfId="0" applyNumberFormat="1" applyFont="1" applyFill="1" applyBorder="1" applyAlignment="1">
      <alignment wrapText="1"/>
    </xf>
    <xf numFmtId="198" fontId="4" fillId="0" borderId="15" xfId="0" applyNumberFormat="1" applyFont="1" applyFill="1" applyBorder="1" applyAlignment="1">
      <alignment/>
    </xf>
    <xf numFmtId="198" fontId="4" fillId="0" borderId="16" xfId="0" applyNumberFormat="1" applyFont="1" applyFill="1" applyBorder="1" applyAlignment="1">
      <alignment/>
    </xf>
    <xf numFmtId="198" fontId="5" fillId="32" borderId="11" xfId="0" applyNumberFormat="1" applyFont="1" applyFill="1" applyBorder="1" applyAlignment="1">
      <alignment/>
    </xf>
    <xf numFmtId="0" fontId="5" fillId="32" borderId="14" xfId="0" applyFont="1" applyFill="1" applyBorder="1" applyAlignment="1">
      <alignment wrapText="1"/>
    </xf>
    <xf numFmtId="198" fontId="4" fillId="32" borderId="14" xfId="0" applyNumberFormat="1" applyFont="1" applyFill="1" applyBorder="1" applyAlignment="1">
      <alignment/>
    </xf>
    <xf numFmtId="197" fontId="4" fillId="32" borderId="14" xfId="0" applyNumberFormat="1" applyFont="1" applyFill="1" applyBorder="1" applyAlignment="1">
      <alignment/>
    </xf>
    <xf numFmtId="198" fontId="5" fillId="32" borderId="13" xfId="0" applyNumberFormat="1" applyFont="1" applyFill="1" applyBorder="1" applyAlignment="1">
      <alignment/>
    </xf>
    <xf numFmtId="197" fontId="3" fillId="0" borderId="10" xfId="0" applyNumberFormat="1" applyFont="1" applyFill="1" applyBorder="1" applyAlignment="1">
      <alignment horizontal="right"/>
    </xf>
    <xf numFmtId="198" fontId="11" fillId="0" borderId="12" xfId="0" applyNumberFormat="1" applyFont="1" applyFill="1" applyBorder="1" applyAlignment="1">
      <alignment/>
    </xf>
    <xf numFmtId="198" fontId="11" fillId="0" borderId="12" xfId="0" applyNumberFormat="1" applyFont="1" applyFill="1" applyBorder="1" applyAlignment="1">
      <alignment wrapText="1"/>
    </xf>
    <xf numFmtId="198" fontId="4" fillId="32" borderId="13" xfId="0" applyNumberFormat="1" applyFont="1" applyFill="1" applyBorder="1" applyAlignment="1">
      <alignment vertical="center" wrapText="1"/>
    </xf>
    <xf numFmtId="198" fontId="11" fillId="0" borderId="10" xfId="0" applyNumberFormat="1" applyFont="1" applyFill="1" applyBorder="1" applyAlignment="1">
      <alignment/>
    </xf>
    <xf numFmtId="197" fontId="4" fillId="32" borderId="17" xfId="0" applyNumberFormat="1" applyFont="1" applyFill="1" applyBorder="1" applyAlignment="1">
      <alignment/>
    </xf>
    <xf numFmtId="197" fontId="4" fillId="32" borderId="18" xfId="0" applyNumberFormat="1" applyFont="1" applyFill="1" applyBorder="1" applyAlignment="1">
      <alignment/>
    </xf>
    <xf numFmtId="0" fontId="5" fillId="32" borderId="19" xfId="0" applyFont="1" applyFill="1" applyBorder="1" applyAlignment="1">
      <alignment wrapText="1"/>
    </xf>
    <xf numFmtId="197" fontId="4" fillId="32" borderId="20" xfId="0" applyNumberFormat="1" applyFont="1" applyFill="1" applyBorder="1" applyAlignment="1">
      <alignment/>
    </xf>
    <xf numFmtId="198" fontId="4" fillId="32" borderId="21" xfId="0" applyNumberFormat="1" applyFont="1" applyFill="1" applyBorder="1" applyAlignment="1">
      <alignment/>
    </xf>
    <xf numFmtId="198" fontId="4" fillId="32" borderId="18" xfId="0" applyNumberFormat="1" applyFont="1" applyFill="1" applyBorder="1" applyAlignment="1">
      <alignment horizontal="right"/>
    </xf>
    <xf numFmtId="198" fontId="4" fillId="32" borderId="18" xfId="0" applyNumberFormat="1" applyFont="1" applyFill="1" applyBorder="1" applyAlignment="1">
      <alignment/>
    </xf>
    <xf numFmtId="0" fontId="5" fillId="0" borderId="16" xfId="0" applyFont="1" applyFill="1" applyBorder="1" applyAlignment="1">
      <alignment wrapText="1"/>
    </xf>
    <xf numFmtId="198" fontId="4" fillId="0" borderId="14" xfId="0" applyNumberFormat="1" applyFont="1" applyFill="1" applyBorder="1" applyAlignment="1">
      <alignment/>
    </xf>
    <xf numFmtId="198" fontId="5" fillId="32" borderId="13" xfId="0" applyNumberFormat="1" applyFont="1" applyFill="1" applyBorder="1" applyAlignment="1">
      <alignment horizontal="right" wrapText="1"/>
    </xf>
    <xf numFmtId="198" fontId="5" fillId="32" borderId="19" xfId="0" applyNumberFormat="1" applyFont="1" applyFill="1" applyBorder="1" applyAlignment="1">
      <alignment horizontal="right" wrapText="1"/>
    </xf>
    <xf numFmtId="0" fontId="10" fillId="33" borderId="0" xfId="0" applyFont="1" applyFill="1" applyAlignment="1">
      <alignment/>
    </xf>
    <xf numFmtId="197" fontId="4" fillId="33" borderId="10" xfId="0" applyNumberFormat="1" applyFont="1" applyFill="1" applyBorder="1" applyAlignment="1">
      <alignment/>
    </xf>
    <xf numFmtId="198" fontId="4" fillId="33" borderId="10" xfId="0" applyNumberFormat="1" applyFont="1" applyFill="1" applyBorder="1" applyAlignment="1">
      <alignment/>
    </xf>
    <xf numFmtId="0" fontId="3" fillId="33" borderId="12" xfId="0" applyFont="1" applyFill="1" applyBorder="1" applyAlignment="1">
      <alignment wrapText="1"/>
    </xf>
    <xf numFmtId="198" fontId="3" fillId="33" borderId="10" xfId="0" applyNumberFormat="1" applyFont="1" applyFill="1" applyBorder="1" applyAlignment="1">
      <alignment wrapText="1"/>
    </xf>
    <xf numFmtId="198" fontId="3" fillId="33" borderId="10" xfId="0" applyNumberFormat="1" applyFont="1" applyFill="1" applyBorder="1" applyAlignment="1">
      <alignment/>
    </xf>
    <xf numFmtId="197" fontId="3" fillId="33" borderId="10" xfId="0" applyNumberFormat="1" applyFont="1" applyFill="1" applyBorder="1" applyAlignment="1">
      <alignment/>
    </xf>
    <xf numFmtId="198" fontId="5" fillId="33" borderId="10" xfId="0" applyNumberFormat="1" applyFont="1" applyFill="1" applyBorder="1" applyAlignment="1">
      <alignment/>
    </xf>
    <xf numFmtId="198" fontId="5" fillId="33" borderId="15" xfId="0" applyNumberFormat="1" applyFont="1" applyFill="1" applyBorder="1" applyAlignment="1">
      <alignment/>
    </xf>
    <xf numFmtId="197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198" fontId="3" fillId="33" borderId="17" xfId="0" applyNumberFormat="1" applyFont="1" applyFill="1" applyBorder="1" applyAlignment="1">
      <alignment wrapText="1"/>
    </xf>
    <xf numFmtId="198" fontId="3" fillId="33" borderId="17" xfId="0" applyNumberFormat="1" applyFont="1" applyFill="1" applyBorder="1" applyAlignment="1">
      <alignment/>
    </xf>
    <xf numFmtId="197" fontId="3" fillId="33" borderId="17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4" xfId="0" applyFont="1" applyFill="1" applyBorder="1" applyAlignment="1">
      <alignment wrapText="1"/>
    </xf>
    <xf numFmtId="198" fontId="3" fillId="33" borderId="14" xfId="0" applyNumberFormat="1" applyFont="1" applyFill="1" applyBorder="1" applyAlignment="1">
      <alignment wrapText="1"/>
    </xf>
    <xf numFmtId="197" fontId="3" fillId="33" borderId="14" xfId="0" applyNumberFormat="1" applyFont="1" applyFill="1" applyBorder="1" applyAlignment="1">
      <alignment/>
    </xf>
    <xf numFmtId="198" fontId="3" fillId="33" borderId="14" xfId="0" applyNumberFormat="1" applyFont="1" applyFill="1" applyBorder="1" applyAlignment="1">
      <alignment/>
    </xf>
    <xf numFmtId="198" fontId="3" fillId="33" borderId="12" xfId="0" applyNumberFormat="1" applyFont="1" applyFill="1" applyBorder="1" applyAlignment="1">
      <alignment wrapText="1"/>
    </xf>
    <xf numFmtId="198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8" fontId="3" fillId="33" borderId="22" xfId="0" applyNumberFormat="1" applyFont="1" applyFill="1" applyBorder="1" applyAlignment="1">
      <alignment wrapText="1"/>
    </xf>
    <xf numFmtId="198" fontId="3" fillId="33" borderId="23" xfId="0" applyNumberFormat="1" applyFont="1" applyFill="1" applyBorder="1" applyAlignment="1">
      <alignment horizontal="right"/>
    </xf>
    <xf numFmtId="198" fontId="3" fillId="33" borderId="24" xfId="0" applyNumberFormat="1" applyFont="1" applyFill="1" applyBorder="1" applyAlignment="1">
      <alignment/>
    </xf>
    <xf numFmtId="197" fontId="3" fillId="33" borderId="22" xfId="0" applyNumberFormat="1" applyFont="1" applyFill="1" applyBorder="1" applyAlignment="1">
      <alignment/>
    </xf>
    <xf numFmtId="197" fontId="3" fillId="33" borderId="25" xfId="0" applyNumberFormat="1" applyFont="1" applyFill="1" applyBorder="1" applyAlignment="1">
      <alignment/>
    </xf>
    <xf numFmtId="197" fontId="3" fillId="33" borderId="23" xfId="0" applyNumberFormat="1" applyFont="1" applyFill="1" applyBorder="1" applyAlignment="1">
      <alignment/>
    </xf>
    <xf numFmtId="198" fontId="3" fillId="33" borderId="26" xfId="0" applyNumberFormat="1" applyFont="1" applyFill="1" applyBorder="1" applyAlignment="1">
      <alignment/>
    </xf>
    <xf numFmtId="0" fontId="11" fillId="33" borderId="12" xfId="0" applyFont="1" applyFill="1" applyBorder="1" applyAlignment="1">
      <alignment wrapText="1"/>
    </xf>
    <xf numFmtId="198" fontId="11" fillId="33" borderId="10" xfId="0" applyNumberFormat="1" applyFont="1" applyFill="1" applyBorder="1" applyAlignment="1">
      <alignment/>
    </xf>
    <xf numFmtId="197" fontId="11" fillId="33" borderId="10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198" fontId="0" fillId="0" borderId="0" xfId="0" applyNumberFormat="1" applyFont="1" applyFill="1" applyAlignment="1">
      <alignment/>
    </xf>
    <xf numFmtId="198" fontId="0" fillId="0" borderId="10" xfId="0" applyNumberFormat="1" applyFont="1" applyFill="1" applyBorder="1" applyAlignment="1">
      <alignment/>
    </xf>
    <xf numFmtId="197" fontId="0" fillId="0" borderId="0" xfId="0" applyNumberFormat="1" applyFont="1" applyFill="1" applyAlignment="1">
      <alignment/>
    </xf>
    <xf numFmtId="198" fontId="0" fillId="0" borderId="0" xfId="0" applyNumberFormat="1" applyFont="1" applyFill="1" applyAlignment="1">
      <alignment wrapText="1"/>
    </xf>
    <xf numFmtId="198" fontId="4" fillId="33" borderId="12" xfId="0" applyNumberFormat="1" applyFont="1" applyFill="1" applyBorder="1" applyAlignment="1">
      <alignment/>
    </xf>
    <xf numFmtId="0" fontId="5" fillId="34" borderId="12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198" fontId="5" fillId="33" borderId="10" xfId="0" applyNumberFormat="1" applyFont="1" applyFill="1" applyBorder="1" applyAlignment="1">
      <alignment wrapText="1"/>
    </xf>
    <xf numFmtId="197" fontId="4" fillId="34" borderId="11" xfId="0" applyNumberFormat="1" applyFont="1" applyFill="1" applyBorder="1" applyAlignment="1">
      <alignment/>
    </xf>
    <xf numFmtId="198" fontId="4" fillId="34" borderId="11" xfId="0" applyNumberFormat="1" applyFont="1" applyFill="1" applyBorder="1" applyAlignment="1">
      <alignment/>
    </xf>
    <xf numFmtId="198" fontId="5" fillId="35" borderId="10" xfId="0" applyNumberFormat="1" applyFont="1" applyFill="1" applyBorder="1" applyAlignment="1">
      <alignment wrapText="1"/>
    </xf>
    <xf numFmtId="198" fontId="3" fillId="0" borderId="10" xfId="0" applyNumberFormat="1" applyFont="1" applyFill="1" applyBorder="1" applyAlignment="1">
      <alignment/>
    </xf>
    <xf numFmtId="198" fontId="5" fillId="0" borderId="12" xfId="0" applyNumberFormat="1" applyFont="1" applyFill="1" applyBorder="1" applyAlignment="1">
      <alignment/>
    </xf>
    <xf numFmtId="198" fontId="5" fillId="0" borderId="13" xfId="0" applyNumberFormat="1" applyFont="1" applyFill="1" applyBorder="1" applyAlignment="1">
      <alignment/>
    </xf>
    <xf numFmtId="198" fontId="3" fillId="35" borderId="12" xfId="0" applyNumberFormat="1" applyFont="1" applyFill="1" applyBorder="1" applyAlignment="1">
      <alignment wrapText="1"/>
    </xf>
    <xf numFmtId="0" fontId="5" fillId="35" borderId="10" xfId="0" applyFont="1" applyFill="1" applyBorder="1" applyAlignment="1">
      <alignment wrapText="1"/>
    </xf>
    <xf numFmtId="198" fontId="5" fillId="35" borderId="10" xfId="0" applyNumberFormat="1" applyFont="1" applyFill="1" applyBorder="1" applyAlignment="1">
      <alignment/>
    </xf>
    <xf numFmtId="198" fontId="5" fillId="35" borderId="15" xfId="0" applyNumberFormat="1" applyFont="1" applyFill="1" applyBorder="1" applyAlignment="1">
      <alignment/>
    </xf>
    <xf numFmtId="197" fontId="5" fillId="35" borderId="10" xfId="0" applyNumberFormat="1" applyFont="1" applyFill="1" applyBorder="1" applyAlignment="1">
      <alignment/>
    </xf>
    <xf numFmtId="197" fontId="4" fillId="35" borderId="10" xfId="0" applyNumberFormat="1" applyFont="1" applyFill="1" applyBorder="1" applyAlignment="1">
      <alignment/>
    </xf>
    <xf numFmtId="198" fontId="4" fillId="35" borderId="10" xfId="0" applyNumberFormat="1" applyFont="1" applyFill="1" applyBorder="1" applyAlignment="1">
      <alignment/>
    </xf>
    <xf numFmtId="0" fontId="5" fillId="35" borderId="0" xfId="0" applyFont="1" applyFill="1" applyAlignment="1">
      <alignment/>
    </xf>
    <xf numFmtId="198" fontId="5" fillId="35" borderId="0" xfId="0" applyNumberFormat="1" applyFont="1" applyFill="1" applyAlignment="1">
      <alignment/>
    </xf>
    <xf numFmtId="198" fontId="3" fillId="35" borderId="14" xfId="0" applyNumberFormat="1" applyFont="1" applyFill="1" applyBorder="1" applyAlignment="1">
      <alignment/>
    </xf>
    <xf numFmtId="198" fontId="4" fillId="35" borderId="15" xfId="0" applyNumberFormat="1" applyFont="1" applyFill="1" applyBorder="1" applyAlignment="1">
      <alignment/>
    </xf>
    <xf numFmtId="198" fontId="3" fillId="35" borderId="15" xfId="0" applyNumberFormat="1" applyFont="1" applyFill="1" applyBorder="1" applyAlignment="1">
      <alignment/>
    </xf>
    <xf numFmtId="0" fontId="5" fillId="35" borderId="17" xfId="0" applyFont="1" applyFill="1" applyBorder="1" applyAlignment="1">
      <alignment wrapText="1"/>
    </xf>
    <xf numFmtId="198" fontId="5" fillId="35" borderId="17" xfId="0" applyNumberFormat="1" applyFont="1" applyFill="1" applyBorder="1" applyAlignment="1">
      <alignment wrapText="1"/>
    </xf>
    <xf numFmtId="198" fontId="4" fillId="35" borderId="17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0" fontId="3" fillId="35" borderId="12" xfId="0" applyFont="1" applyFill="1" applyBorder="1" applyAlignment="1">
      <alignment wrapText="1"/>
    </xf>
    <xf numFmtId="198" fontId="3" fillId="35" borderId="10" xfId="0" applyNumberFormat="1" applyFont="1" applyFill="1" applyBorder="1" applyAlignment="1">
      <alignment wrapText="1"/>
    </xf>
    <xf numFmtId="198" fontId="3" fillId="35" borderId="10" xfId="0" applyNumberFormat="1" applyFont="1" applyFill="1" applyBorder="1" applyAlignment="1">
      <alignment/>
    </xf>
    <xf numFmtId="197" fontId="3" fillId="35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 wrapText="1"/>
    </xf>
    <xf numFmtId="0" fontId="3" fillId="35" borderId="0" xfId="0" applyFont="1" applyFill="1" applyAlignment="1">
      <alignment/>
    </xf>
    <xf numFmtId="198" fontId="3" fillId="35" borderId="0" xfId="0" applyNumberFormat="1" applyFont="1" applyFill="1" applyAlignment="1">
      <alignment/>
    </xf>
    <xf numFmtId="0" fontId="5" fillId="35" borderId="12" xfId="0" applyFont="1" applyFill="1" applyBorder="1" applyAlignment="1">
      <alignment wrapText="1"/>
    </xf>
    <xf numFmtId="198" fontId="4" fillId="32" borderId="0" xfId="0" applyNumberFormat="1" applyFont="1" applyFill="1" applyBorder="1" applyAlignment="1">
      <alignment wrapText="1"/>
    </xf>
    <xf numFmtId="198" fontId="0" fillId="0" borderId="0" xfId="0" applyNumberFormat="1" applyFont="1" applyFill="1" applyBorder="1" applyAlignment="1">
      <alignment/>
    </xf>
    <xf numFmtId="198" fontId="11" fillId="0" borderId="0" xfId="0" applyNumberFormat="1" applyFont="1" applyFill="1" applyBorder="1" applyAlignment="1">
      <alignment wrapText="1"/>
    </xf>
    <xf numFmtId="198" fontId="3" fillId="0" borderId="0" xfId="0" applyNumberFormat="1" applyFont="1" applyFill="1" applyBorder="1" applyAlignment="1">
      <alignment wrapText="1"/>
    </xf>
    <xf numFmtId="198" fontId="3" fillId="0" borderId="0" xfId="0" applyNumberFormat="1" applyFont="1" applyFill="1" applyBorder="1" applyAlignment="1">
      <alignment/>
    </xf>
    <xf numFmtId="198" fontId="5" fillId="0" borderId="0" xfId="0" applyNumberFormat="1" applyFont="1" applyFill="1" applyBorder="1" applyAlignment="1">
      <alignment wrapText="1"/>
    </xf>
    <xf numFmtId="198" fontId="4" fillId="32" borderId="0" xfId="0" applyNumberFormat="1" applyFont="1" applyFill="1" applyBorder="1" applyAlignment="1">
      <alignment vertical="center" wrapText="1"/>
    </xf>
    <xf numFmtId="198" fontId="3" fillId="35" borderId="0" xfId="0" applyNumberFormat="1" applyFont="1" applyFill="1" applyBorder="1" applyAlignment="1">
      <alignment wrapText="1"/>
    </xf>
    <xf numFmtId="198" fontId="4" fillId="32" borderId="0" xfId="0" applyNumberFormat="1" applyFont="1" applyFill="1" applyBorder="1" applyAlignment="1">
      <alignment/>
    </xf>
    <xf numFmtId="198" fontId="5" fillId="32" borderId="0" xfId="0" applyNumberFormat="1" applyFont="1" applyFill="1" applyBorder="1" applyAlignment="1">
      <alignment wrapText="1"/>
    </xf>
    <xf numFmtId="198" fontId="7" fillId="0" borderId="0" xfId="0" applyNumberFormat="1" applyFont="1" applyFill="1" applyBorder="1" applyAlignment="1">
      <alignment wrapText="1"/>
    </xf>
    <xf numFmtId="198" fontId="3" fillId="33" borderId="0" xfId="0" applyNumberFormat="1" applyFont="1" applyFill="1" applyBorder="1" applyAlignment="1">
      <alignment/>
    </xf>
    <xf numFmtId="198" fontId="5" fillId="32" borderId="0" xfId="0" applyNumberFormat="1" applyFont="1" applyFill="1" applyBorder="1" applyAlignment="1">
      <alignment horizontal="right" wrapText="1"/>
    </xf>
    <xf numFmtId="198" fontId="5" fillId="35" borderId="0" xfId="0" applyNumberFormat="1" applyFont="1" applyFill="1" applyBorder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875"/>
          <c:y val="-0.010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"/>
          <c:y val="0.09925"/>
          <c:w val="0.85325"/>
          <c:h val="0.64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'!$C$62</c:f>
              <c:numCache>
                <c:ptCount val="1"/>
                <c:pt idx="0">
                  <c:v>229765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'!$D$62</c:f>
              <c:numCache>
                <c:ptCount val="1"/>
                <c:pt idx="0">
                  <c:v>75090.4</c:v>
                </c:pt>
              </c:numCache>
            </c:numRef>
          </c:val>
          <c:shape val="box"/>
        </c:ser>
        <c:shape val="box"/>
        <c:axId val="47847102"/>
        <c:axId val="27970735"/>
      </c:bar3DChart>
      <c:catAx>
        <c:axId val="47847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970735"/>
        <c:crosses val="autoZero"/>
        <c:auto val="1"/>
        <c:lblOffset val="100"/>
        <c:tickLblSkip val="1"/>
        <c:noMultiLvlLbl val="0"/>
      </c:catAx>
      <c:valAx>
        <c:axId val="279707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4710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07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65"/>
          <c:w val="0.8435"/>
          <c:h val="0.713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</c:f>
              <c:numCache>
                <c:ptCount val="1"/>
                <c:pt idx="0">
                  <c:v>1056743.7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</c:f>
              <c:numCache>
                <c:ptCount val="1"/>
                <c:pt idx="0">
                  <c:v>300968.2999999999</c:v>
                </c:pt>
              </c:numCache>
            </c:numRef>
          </c:val>
          <c:shape val="box"/>
        </c:ser>
        <c:shape val="box"/>
        <c:axId val="50410024"/>
        <c:axId val="51037033"/>
      </c:bar3DChart>
      <c:catAx>
        <c:axId val="50410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037033"/>
        <c:crosses val="autoZero"/>
        <c:auto val="1"/>
        <c:lblOffset val="100"/>
        <c:tickLblSkip val="1"/>
        <c:noMultiLvlLbl val="0"/>
      </c:catAx>
      <c:valAx>
        <c:axId val="510370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1002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34"/>
          <c:w val="0.9295"/>
          <c:h val="0.662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'!$C$14</c:f>
              <c:numCache>
                <c:ptCount val="1"/>
                <c:pt idx="0">
                  <c:v>325921.5000000001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'!$D$14</c:f>
              <c:numCache>
                <c:ptCount val="1"/>
                <c:pt idx="0">
                  <c:v>123662.69999999997</c:v>
                </c:pt>
              </c:numCache>
            </c:numRef>
          </c:val>
          <c:shape val="box"/>
        </c:ser>
        <c:shape val="box"/>
        <c:axId val="56680114"/>
        <c:axId val="40358979"/>
      </c:bar3DChart>
      <c:catAx>
        <c:axId val="56680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358979"/>
        <c:crosses val="autoZero"/>
        <c:auto val="1"/>
        <c:lblOffset val="100"/>
        <c:tickLblSkip val="1"/>
        <c:noMultiLvlLbl val="0"/>
      </c:catAx>
      <c:valAx>
        <c:axId val="403589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8011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4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225"/>
          <c:w val="0.87025"/>
          <c:h val="0.57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'!$C$18</c:f>
              <c:numCache>
                <c:ptCount val="1"/>
                <c:pt idx="0">
                  <c:v>40770.1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'!$D$18</c:f>
              <c:numCache>
                <c:ptCount val="1"/>
                <c:pt idx="0">
                  <c:v>9586.099999999999</c:v>
                </c:pt>
              </c:numCache>
            </c:numRef>
          </c:val>
          <c:shape val="box"/>
        </c:ser>
        <c:shape val="box"/>
        <c:axId val="27686492"/>
        <c:axId val="47851837"/>
      </c:bar3DChart>
      <c:catAx>
        <c:axId val="27686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851837"/>
        <c:crosses val="autoZero"/>
        <c:auto val="1"/>
        <c:lblOffset val="100"/>
        <c:tickLblSkip val="1"/>
        <c:noMultiLvlLbl val="0"/>
      </c:catAx>
      <c:valAx>
        <c:axId val="478518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8649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475"/>
          <c:y val="0.03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1575"/>
          <c:w val="0.8635"/>
          <c:h val="0.65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'!$C$32</c:f>
              <c:numCache>
                <c:ptCount val="1"/>
                <c:pt idx="0">
                  <c:v>69295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'!$D$32</c:f>
              <c:numCache>
                <c:ptCount val="1"/>
                <c:pt idx="0">
                  <c:v>15486.900000000001</c:v>
                </c:pt>
              </c:numCache>
            </c:numRef>
          </c:val>
          <c:shape val="box"/>
        </c:ser>
        <c:shape val="box"/>
        <c:axId val="28013350"/>
        <c:axId val="50793559"/>
      </c:bar3DChart>
      <c:catAx>
        <c:axId val="28013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793559"/>
        <c:crosses val="autoZero"/>
        <c:auto val="1"/>
        <c:lblOffset val="100"/>
        <c:tickLblSkip val="2"/>
        <c:noMultiLvlLbl val="0"/>
      </c:catAx>
      <c:valAx>
        <c:axId val="507935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1335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075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3"/>
          <c:w val="0.8775"/>
          <c:h val="0.681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'!$C$39</c:f>
              <c:numCache>
                <c:ptCount val="1"/>
                <c:pt idx="0">
                  <c:v>12540.8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'!$D$39</c:f>
              <c:numCache>
                <c:ptCount val="1"/>
                <c:pt idx="0">
                  <c:v>1080.6999999999998</c:v>
                </c:pt>
              </c:numCache>
            </c:numRef>
          </c:val>
          <c:shape val="box"/>
        </c:ser>
        <c:shape val="box"/>
        <c:axId val="54488848"/>
        <c:axId val="20637585"/>
      </c:bar3DChart>
      <c:catAx>
        <c:axId val="54488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637585"/>
        <c:crosses val="autoZero"/>
        <c:auto val="1"/>
        <c:lblOffset val="100"/>
        <c:tickLblSkip val="1"/>
        <c:noMultiLvlLbl val="0"/>
      </c:catAx>
      <c:valAx>
        <c:axId val="206375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8884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9"/>
          <c:y val="-0.013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25"/>
          <c:y val="0.098"/>
          <c:w val="0.85275"/>
          <c:h val="0.722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'!$C$66</c:f>
              <c:numCache>
                <c:ptCount val="1"/>
                <c:pt idx="0">
                  <c:v>79658.29999999999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'!$D$66</c:f>
              <c:numCache>
                <c:ptCount val="1"/>
                <c:pt idx="0">
                  <c:v>19604.9</c:v>
                </c:pt>
              </c:numCache>
            </c:numRef>
          </c:val>
          <c:shape val="box"/>
        </c:ser>
        <c:shape val="box"/>
        <c:axId val="51520538"/>
        <c:axId val="61031659"/>
      </c:bar3DChart>
      <c:catAx>
        <c:axId val="51520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1031659"/>
        <c:crosses val="autoZero"/>
        <c:auto val="1"/>
        <c:lblOffset val="100"/>
        <c:tickLblSkip val="1"/>
        <c:noMultiLvlLbl val="0"/>
      </c:catAx>
      <c:valAx>
        <c:axId val="610316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2053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54"/>
          <c:w val="0.85125"/>
          <c:h val="0.57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'!$A$14,'аналіз фінансування '!$A$18,'аналіз фінансування '!$A$32,'аналіз фінансування '!$A$39,'аналіз фінансування '!$A$62,'аналіз фінансування '!$A$66)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'!$C$6,'аналіз фінансування '!$C$14,'аналіз фінансування '!$C$18,'аналіз фінансування '!$C$32,'аналіз фінансування '!$C$39,'аналіз фінансування '!$C$62,'аналіз фінансування '!$C$66)</c:f>
              <c:numCache>
                <c:ptCount val="7"/>
                <c:pt idx="0">
                  <c:v>1056743.7</c:v>
                </c:pt>
                <c:pt idx="1">
                  <c:v>325921.5000000001</c:v>
                </c:pt>
                <c:pt idx="2">
                  <c:v>40770.1</c:v>
                </c:pt>
                <c:pt idx="3">
                  <c:v>69295</c:v>
                </c:pt>
                <c:pt idx="4">
                  <c:v>12540.8</c:v>
                </c:pt>
                <c:pt idx="5">
                  <c:v>229765</c:v>
                </c:pt>
                <c:pt idx="6">
                  <c:v>79658.29999999999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'!$A$14,'аналіз фінансування '!$A$18,'аналіз фінансування '!$A$32,'аналіз фінансування '!$A$39,'аналіз фінансування '!$A$62,'аналіз фінансування '!$A$66)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'!$D$6,'аналіз фінансування '!$D$14,'аналіз фінансування '!$D$18,'аналіз фінансування '!$D$32,'аналіз фінансування '!$D$39,'аналіз фінансування '!$D$62,'аналіз фінансування '!$D$66)</c:f>
              <c:numCache>
                <c:ptCount val="7"/>
                <c:pt idx="0">
                  <c:v>300968.2999999999</c:v>
                </c:pt>
                <c:pt idx="1">
                  <c:v>123662.69999999997</c:v>
                </c:pt>
                <c:pt idx="2">
                  <c:v>9586.099999999999</c:v>
                </c:pt>
                <c:pt idx="3">
                  <c:v>15486.900000000001</c:v>
                </c:pt>
                <c:pt idx="4">
                  <c:v>1080.6999999999998</c:v>
                </c:pt>
                <c:pt idx="5">
                  <c:v>75090.4</c:v>
                </c:pt>
                <c:pt idx="6">
                  <c:v>19604.9</c:v>
                </c:pt>
              </c:numCache>
            </c:numRef>
          </c:val>
          <c:shape val="box"/>
        </c:ser>
        <c:shape val="box"/>
        <c:axId val="12414020"/>
        <c:axId val="44617317"/>
      </c:bar3DChart>
      <c:catAx>
        <c:axId val="12414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617317"/>
        <c:crosses val="autoZero"/>
        <c:auto val="1"/>
        <c:lblOffset val="100"/>
        <c:tickLblSkip val="1"/>
        <c:noMultiLvlLbl val="0"/>
      </c:catAx>
      <c:valAx>
        <c:axId val="446173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140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755"/>
          <c:w val="0.231"/>
          <c:h val="0.1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1725"/>
          <c:y val="-0.002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"/>
          <c:y val="0.2925"/>
          <c:w val="0.84125"/>
          <c:h val="0.4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'!$A$103:$A$108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'!$C$103:$C$108</c:f>
              <c:numCache>
                <c:ptCount val="6"/>
                <c:pt idx="0">
                  <c:v>1150124.9</c:v>
                </c:pt>
                <c:pt idx="1">
                  <c:v>116533.5</c:v>
                </c:pt>
                <c:pt idx="2">
                  <c:v>52033.6</c:v>
                </c:pt>
                <c:pt idx="3">
                  <c:v>101664.4</c:v>
                </c:pt>
                <c:pt idx="4">
                  <c:v>189.4</c:v>
                </c:pt>
                <c:pt idx="5">
                  <c:v>1305426.4000000008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'!$A$103:$A$108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'!$D$103:$D$108</c:f>
              <c:numCache>
                <c:ptCount val="6"/>
                <c:pt idx="0">
                  <c:v>352128.1999999999</c:v>
                </c:pt>
                <c:pt idx="1">
                  <c:v>32112.6</c:v>
                </c:pt>
                <c:pt idx="2">
                  <c:v>9699.4</c:v>
                </c:pt>
                <c:pt idx="3">
                  <c:v>22846.899999999998</c:v>
                </c:pt>
                <c:pt idx="4">
                  <c:v>57.9</c:v>
                </c:pt>
                <c:pt idx="5">
                  <c:v>364324.1999999999</c:v>
                </c:pt>
              </c:numCache>
            </c:numRef>
          </c:val>
          <c:shape val="box"/>
        </c:ser>
        <c:shape val="box"/>
        <c:axId val="66011534"/>
        <c:axId val="57232895"/>
      </c:bar3DChart>
      <c:catAx>
        <c:axId val="66011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232895"/>
        <c:crosses val="autoZero"/>
        <c:auto val="1"/>
        <c:lblOffset val="100"/>
        <c:tickLblSkip val="1"/>
        <c:noMultiLvlLbl val="0"/>
      </c:catAx>
      <c:valAx>
        <c:axId val="572328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115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25"/>
          <c:y val="0.9125"/>
          <c:w val="0.502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26</xdr:row>
      <xdr:rowOff>95250</xdr:rowOff>
    </xdr:to>
    <xdr:graphicFrame>
      <xdr:nvGraphicFramePr>
        <xdr:cNvPr id="1" name="Диаграмма 1"/>
        <xdr:cNvGraphicFramePr/>
      </xdr:nvGraphicFramePr>
      <xdr:xfrm>
        <a:off x="0" y="0"/>
        <a:ext cx="994410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647700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32</xdr:row>
      <xdr:rowOff>85725</xdr:rowOff>
    </xdr:to>
    <xdr:graphicFrame>
      <xdr:nvGraphicFramePr>
        <xdr:cNvPr id="1" name="Диаграмма 4"/>
        <xdr:cNvGraphicFramePr/>
      </xdr:nvGraphicFramePr>
      <xdr:xfrm>
        <a:off x="1285875" y="666750"/>
        <a:ext cx="861060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16</xdr:col>
      <xdr:colOff>628650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390525"/>
        <a:ext cx="1187767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61950"/>
        <a:ext cx="110871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7"/>
  <sheetViews>
    <sheetView tabSelected="1" view="pageBreakPreview" zoomScale="72" zoomScaleNormal="80" zoomScaleSheetLayoutView="72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13" sqref="E113"/>
    </sheetView>
  </sheetViews>
  <sheetFormatPr defaultColWidth="9.125" defaultRowHeight="12.75"/>
  <cols>
    <col min="1" max="1" width="66.875" style="97" customWidth="1"/>
    <col min="2" max="2" width="19.00390625" style="97" customWidth="1"/>
    <col min="3" max="3" width="18.625" style="98" customWidth="1"/>
    <col min="4" max="4" width="19.00390625" style="98" customWidth="1"/>
    <col min="5" max="5" width="17.375" style="98" customWidth="1"/>
    <col min="6" max="7" width="19.50390625" style="98" customWidth="1"/>
    <col min="8" max="8" width="19.625" style="98" customWidth="1"/>
    <col min="9" max="9" width="21.00390625" style="98" customWidth="1"/>
    <col min="10" max="10" width="11.50390625" style="98" customWidth="1"/>
    <col min="11" max="11" width="9.125" style="98" customWidth="1"/>
    <col min="12" max="12" width="19.00390625" style="98" customWidth="1"/>
    <col min="13" max="16384" width="9.125" style="98" customWidth="1"/>
  </cols>
  <sheetData>
    <row r="1" spans="1:9" ht="30">
      <c r="A1" s="155" t="s">
        <v>72</v>
      </c>
      <c r="B1" s="155"/>
      <c r="C1" s="155"/>
      <c r="D1" s="155"/>
      <c r="E1" s="155"/>
      <c r="F1" s="155"/>
      <c r="G1" s="155"/>
      <c r="H1" s="155"/>
      <c r="I1" s="155"/>
    </row>
    <row r="2" spans="1:8" ht="9.75" customHeight="1" thickBot="1">
      <c r="A2" s="14"/>
      <c r="B2" s="14"/>
      <c r="C2" s="10"/>
      <c r="D2" s="10"/>
      <c r="E2" s="10"/>
      <c r="F2" s="10"/>
      <c r="G2" s="10"/>
      <c r="H2" s="10"/>
    </row>
    <row r="3" spans="1:9" ht="29.25" customHeight="1">
      <c r="A3" s="156" t="s">
        <v>35</v>
      </c>
      <c r="B3" s="159" t="s">
        <v>71</v>
      </c>
      <c r="C3" s="162" t="s">
        <v>66</v>
      </c>
      <c r="D3" s="162" t="s">
        <v>20</v>
      </c>
      <c r="E3" s="162" t="s">
        <v>19</v>
      </c>
      <c r="F3" s="162" t="s">
        <v>69</v>
      </c>
      <c r="G3" s="162" t="s">
        <v>67</v>
      </c>
      <c r="H3" s="162" t="s">
        <v>70</v>
      </c>
      <c r="I3" s="162" t="s">
        <v>68</v>
      </c>
    </row>
    <row r="4" spans="1:9" ht="24.75" customHeight="1">
      <c r="A4" s="157"/>
      <c r="B4" s="160"/>
      <c r="C4" s="163"/>
      <c r="D4" s="163"/>
      <c r="E4" s="163"/>
      <c r="F4" s="163"/>
      <c r="G4" s="163"/>
      <c r="H4" s="163"/>
      <c r="I4" s="163"/>
    </row>
    <row r="5" spans="1:9" ht="39" customHeight="1" thickBot="1">
      <c r="A5" s="158"/>
      <c r="B5" s="161"/>
      <c r="C5" s="164"/>
      <c r="D5" s="164"/>
      <c r="E5" s="164"/>
      <c r="F5" s="164"/>
      <c r="G5" s="164"/>
      <c r="H5" s="164"/>
      <c r="I5" s="164"/>
    </row>
    <row r="6" spans="1:13" ht="18" thickBot="1">
      <c r="A6" s="15" t="s">
        <v>24</v>
      </c>
      <c r="B6" s="26">
        <f>335263.6+1208*2</f>
        <v>337679.6</v>
      </c>
      <c r="C6" s="27">
        <f>1049090.5+569.4+28.5+35-1365.7-3930-2380+14696</f>
        <v>1056743.7</v>
      </c>
      <c r="D6" s="28">
        <f>13078+11363.7+29+1466.2+1003.1+15.8+20195.7+316+9909.2+10558.9+58.6-0.1+280.7+69.2+695.7+1899+171.2+15215+11847.4+3211.9+90.1+505.2+199.1+1299.2+2274.2-64+1632.5+1413.1+25023.8+14074.9+400.3+152.5+1278.2+1865.5+1934.4+14300.8+11683.8+4166.8+736.2+1305.7+369.7+467.4+30561.9+14647+0.1-401.7-0.1+38.8+1479.7+15295.3+11821.4+536.2+406.2+1992.5+20406.5+15619.5+1318.1+54.5+818.5-119.7</f>
        <v>300968.2999999999</v>
      </c>
      <c r="E6" s="3">
        <f>D6/D102*100</f>
        <v>38.52792711233366</v>
      </c>
      <c r="F6" s="3">
        <f>D6/B6*100</f>
        <v>89.12836309922183</v>
      </c>
      <c r="G6" s="3">
        <f aca="true" t="shared" si="0" ref="G6:G24">D6/C6*100</f>
        <v>28.480728108433475</v>
      </c>
      <c r="H6" s="28">
        <f aca="true" t="shared" si="1" ref="H6:H12">B6-D6</f>
        <v>36711.300000000105</v>
      </c>
      <c r="I6" s="28">
        <f aca="true" t="shared" si="2" ref="I6:I24">C6-D6</f>
        <v>755775.4000000001</v>
      </c>
      <c r="L6" s="139"/>
      <c r="M6" s="140"/>
    </row>
    <row r="7" spans="1:13" s="64" customFormat="1" ht="18">
      <c r="A7" s="94" t="s">
        <v>46</v>
      </c>
      <c r="B7" s="50">
        <f>101465.1+1208*2</f>
        <v>103881.1</v>
      </c>
      <c r="C7" s="49">
        <f>340062.1+126.5+13310</f>
        <v>353498.6</v>
      </c>
      <c r="D7" s="52">
        <f>11363.7+316+10558.9-0.1+11847.4+14074.9+11683.8+14647+0.1+11821.4+15619.5</f>
        <v>101932.6</v>
      </c>
      <c r="E7" s="96">
        <f>D7/D6*100</f>
        <v>33.86821801498698</v>
      </c>
      <c r="F7" s="96">
        <f>D7/B7*100</f>
        <v>98.1242978751669</v>
      </c>
      <c r="G7" s="96">
        <f>D7/C7*100</f>
        <v>28.83536172420485</v>
      </c>
      <c r="H7" s="95">
        <f t="shared" si="1"/>
        <v>1948.5</v>
      </c>
      <c r="I7" s="95">
        <f t="shared" si="2"/>
        <v>251565.99999999997</v>
      </c>
      <c r="L7" s="141"/>
      <c r="M7" s="140"/>
    </row>
    <row r="8" spans="1:13" s="99" customFormat="1" ht="17.25">
      <c r="A8" s="67" t="s">
        <v>3</v>
      </c>
      <c r="B8" s="23">
        <f>269262.6+1208*2</f>
        <v>271678.6</v>
      </c>
      <c r="C8" s="24">
        <f>839687.5+500+13310</f>
        <v>853497.5</v>
      </c>
      <c r="D8" s="25">
        <f>24441.7+19848+316+9307.2+10558.9+11847.4+14383.9+3.5+3.5+24163.6+14074.9+13794.9+11683.8+1.9+24636.6+14647+0.1+38.8+14859.4+11821.4+15619.5+20406.5</f>
        <v>256458.49999999994</v>
      </c>
      <c r="E8" s="70">
        <f>D8/D6*100</f>
        <v>85.2111335313387</v>
      </c>
      <c r="F8" s="70">
        <f>D8/B8*100</f>
        <v>94.39775528878607</v>
      </c>
      <c r="G8" s="70">
        <f t="shared" si="0"/>
        <v>30.04794975966537</v>
      </c>
      <c r="H8" s="69">
        <f t="shared" si="1"/>
        <v>15220.100000000035</v>
      </c>
      <c r="I8" s="69">
        <f t="shared" si="2"/>
        <v>597039</v>
      </c>
      <c r="L8" s="142"/>
      <c r="M8" s="140"/>
    </row>
    <row r="9" spans="1:13" s="99" customFormat="1" ht="17.25">
      <c r="A9" s="67" t="s">
        <v>2</v>
      </c>
      <c r="B9" s="23">
        <v>77.7</v>
      </c>
      <c r="C9" s="24">
        <v>109.5</v>
      </c>
      <c r="D9" s="25">
        <f>3+7.1+5.3+0.4</f>
        <v>15.799999999999999</v>
      </c>
      <c r="E9" s="85">
        <f>D9/D6*100</f>
        <v>0.00524972231294791</v>
      </c>
      <c r="F9" s="70">
        <f>D9/B9*100</f>
        <v>20.334620334620332</v>
      </c>
      <c r="G9" s="70">
        <f t="shared" si="0"/>
        <v>14.429223744292235</v>
      </c>
      <c r="H9" s="69">
        <f t="shared" si="1"/>
        <v>61.900000000000006</v>
      </c>
      <c r="I9" s="69">
        <f t="shared" si="2"/>
        <v>93.7</v>
      </c>
      <c r="L9" s="142"/>
      <c r="M9" s="140"/>
    </row>
    <row r="10" spans="1:13" s="99" customFormat="1" ht="17.25" customHeight="1">
      <c r="A10" s="67" t="s">
        <v>1</v>
      </c>
      <c r="B10" s="23">
        <v>17843.6</v>
      </c>
      <c r="C10" s="24">
        <v>47136.3</v>
      </c>
      <c r="D10" s="112">
        <f>29+1466.2+360.5+15.8+18.7+530.5+58.6+1101.8+452.2+169.9+43.4+470+155.1+253.6+372.2+203.2+26.1+7.7+38.2+531.3+431.2+486.7+218.2+50.1+456.9+110.8+50.4+98.9+717.1+145.5+59.7+19.8</f>
        <v>9149.3</v>
      </c>
      <c r="E10" s="70">
        <f>D10/D6*100</f>
        <v>3.039954706193311</v>
      </c>
      <c r="F10" s="70">
        <f aca="true" t="shared" si="3" ref="F10:F23">D10/B10*100</f>
        <v>51.27496693492345</v>
      </c>
      <c r="G10" s="70">
        <f t="shared" si="0"/>
        <v>19.410305857693537</v>
      </c>
      <c r="H10" s="69">
        <f t="shared" si="1"/>
        <v>8694.3</v>
      </c>
      <c r="I10" s="69">
        <f t="shared" si="2"/>
        <v>37987</v>
      </c>
      <c r="L10" s="142"/>
      <c r="M10" s="140"/>
    </row>
    <row r="11" spans="1:13" s="99" customFormat="1" ht="17.25">
      <c r="A11" s="67" t="s">
        <v>0</v>
      </c>
      <c r="B11" s="23">
        <v>29685.7</v>
      </c>
      <c r="C11" s="24">
        <f>91483.2-4130</f>
        <v>87353.2</v>
      </c>
      <c r="D11" s="29">
        <f>10.4+69.2+336.4+797.2+170.2+85.6+2885.3+29.4+26.7+804+1334.8-64+1344+0.3+299.3+160.5+372.9+46.6+95.6+506.5+1246.3+1226.8+258.5+3620.6+276.7+973.9+169.6+226.1+2105.1+1118.1+760+440.7+1037.4+1318.1+16.8-119.7</f>
        <v>23985.899999999994</v>
      </c>
      <c r="E11" s="70">
        <f>D11/D6*100</f>
        <v>7.96957686241375</v>
      </c>
      <c r="F11" s="70">
        <f t="shared" si="3"/>
        <v>80.79950952815663</v>
      </c>
      <c r="G11" s="70">
        <f t="shared" si="0"/>
        <v>27.458524702014348</v>
      </c>
      <c r="H11" s="69">
        <f t="shared" si="1"/>
        <v>5699.800000000007</v>
      </c>
      <c r="I11" s="69">
        <f t="shared" si="2"/>
        <v>63367.3</v>
      </c>
      <c r="L11" s="142"/>
      <c r="M11" s="140"/>
    </row>
    <row r="12" spans="1:13" s="99" customFormat="1" ht="17.25">
      <c r="A12" s="67" t="s">
        <v>12</v>
      </c>
      <c r="B12" s="23">
        <v>4731.7</v>
      </c>
      <c r="C12" s="24">
        <f>13684.1+200</f>
        <v>13884.1</v>
      </c>
      <c r="D12" s="25">
        <f>642.6+329+44+557.7+410.5+13.7+37.8+184.5+116.8+639.6+202.3+435.9+309.1</f>
        <v>3923.5000000000005</v>
      </c>
      <c r="E12" s="70">
        <f>D12/D6*100</f>
        <v>1.3036256642310842</v>
      </c>
      <c r="F12" s="70">
        <f t="shared" si="3"/>
        <v>82.91945812287341</v>
      </c>
      <c r="G12" s="70">
        <f t="shared" si="0"/>
        <v>28.258943683782174</v>
      </c>
      <c r="H12" s="69">
        <f t="shared" si="1"/>
        <v>808.1999999999994</v>
      </c>
      <c r="I12" s="69">
        <f t="shared" si="2"/>
        <v>9960.6</v>
      </c>
      <c r="L12" s="142"/>
      <c r="M12" s="140"/>
    </row>
    <row r="13" spans="1:13" s="99" customFormat="1" ht="18" thickBot="1">
      <c r="A13" s="67" t="s">
        <v>25</v>
      </c>
      <c r="B13" s="24">
        <f>B6-B8-B9-B10-B11-B12</f>
        <v>13662.300000000003</v>
      </c>
      <c r="C13" s="24">
        <f>C6-C8-C9-C10-C11-C12</f>
        <v>54763.09999999997</v>
      </c>
      <c r="D13" s="24">
        <f>D6-D8-D9-D10-D11-D12</f>
        <v>7435.29999999993</v>
      </c>
      <c r="E13" s="70">
        <f>D13/D6*100</f>
        <v>2.4704595135102045</v>
      </c>
      <c r="F13" s="70">
        <f t="shared" si="3"/>
        <v>54.42202264625963</v>
      </c>
      <c r="G13" s="70">
        <f t="shared" si="0"/>
        <v>13.577208010503302</v>
      </c>
      <c r="H13" s="69">
        <f aca="true" t="shared" si="4" ref="H13:H24">B13-D13</f>
        <v>6227.000000000073</v>
      </c>
      <c r="I13" s="69">
        <f t="shared" si="2"/>
        <v>47327.80000000004</v>
      </c>
      <c r="L13" s="143"/>
      <c r="M13" s="140"/>
    </row>
    <row r="14" spans="1:13" ht="18" thickBot="1">
      <c r="A14" s="15" t="s">
        <v>17</v>
      </c>
      <c r="B14" s="26">
        <f>143756.5-1871.8+1166.4+202.9-119.4-2171.7</f>
        <v>140962.9</v>
      </c>
      <c r="C14" s="27">
        <f>282583.7+761-311.2+3000+505.2+5067+1166.4+1000+9924.9+1753.9+21231.7-761.1</f>
        <v>325921.5000000001</v>
      </c>
      <c r="D14" s="28">
        <f>10642.1+108.8+141+5423.7+4540.4+5179.8+1006.9+82.4+0.1+216.8+9.7+40.2+621.1+579+95+10957.7+1767.5+1285.8+92.1+132.5+129.9+1628.6+1167.8+3144.7+2290+6519.4+1938.7+3127.1+78.3+495.3+32.3+13.7+278.2+19+11.1+38.3+1262.4+839.6+13.9+1358.6+9575.9+3133.5+670.4+496.5+16+18.8+643.2+57.3+16940.1+5505.7+1.1+2.7+0.2+1871.6+28.9+42.7+696.9+1588.5+7753.7+1556.6+2574.1+201.5+1335.9+64.2+1110.9+466.3</f>
        <v>123662.69999999997</v>
      </c>
      <c r="E14" s="3">
        <f>D14/D102*100</f>
        <v>15.830462849789775</v>
      </c>
      <c r="F14" s="3">
        <f>D14/B14*100</f>
        <v>87.72712536419155</v>
      </c>
      <c r="G14" s="3">
        <f t="shared" si="0"/>
        <v>37.94248001435926</v>
      </c>
      <c r="H14" s="110">
        <f t="shared" si="4"/>
        <v>17300.200000000026</v>
      </c>
      <c r="I14" s="28">
        <f t="shared" si="2"/>
        <v>202258.80000000016</v>
      </c>
      <c r="L14" s="139"/>
      <c r="M14" s="140"/>
    </row>
    <row r="15" spans="1:13" s="64" customFormat="1" ht="18">
      <c r="A15" s="94" t="s">
        <v>47</v>
      </c>
      <c r="B15" s="50">
        <v>55253.6</v>
      </c>
      <c r="C15" s="49">
        <v>55253.6</v>
      </c>
      <c r="D15" s="52">
        <f>10642.1+108.8+141+4540.4+1006.9+82.4+216.8+9.7+40.2+579+10957.7+1285.8+92.1+129.9+1167.8+2290+1938.7+78.3+32.1+278.2+11.1+839.6+9575.9+3133.5+496.5+16+57.3+5505.8</f>
        <v>55253.600000000006</v>
      </c>
      <c r="E15" s="96">
        <f>D15/D14*100</f>
        <v>44.68089407719548</v>
      </c>
      <c r="F15" s="96">
        <f t="shared" si="3"/>
        <v>100.00000000000003</v>
      </c>
      <c r="G15" s="96">
        <f t="shared" si="0"/>
        <v>100.00000000000003</v>
      </c>
      <c r="H15" s="95">
        <f t="shared" si="4"/>
        <v>0</v>
      </c>
      <c r="I15" s="95">
        <f t="shared" si="2"/>
        <v>0</v>
      </c>
      <c r="L15" s="141"/>
      <c r="M15" s="140"/>
    </row>
    <row r="16" spans="1:13" s="99" customFormat="1" ht="17.25">
      <c r="A16" s="67" t="s">
        <v>12</v>
      </c>
      <c r="B16" s="23">
        <v>2050.4</v>
      </c>
      <c r="C16" s="24">
        <f>1059.4+6543.7</f>
        <v>7603.1</v>
      </c>
      <c r="D16" s="25">
        <f>67.9+89.3+103.5+17.1+1314.4+18.3+173.9</f>
        <v>1784.4</v>
      </c>
      <c r="E16" s="70">
        <f>D16/D14*100</f>
        <v>1.4429573347500908</v>
      </c>
      <c r="F16" s="70">
        <f t="shared" si="3"/>
        <v>87.0269215762778</v>
      </c>
      <c r="G16" s="70">
        <f t="shared" si="0"/>
        <v>23.469374334153176</v>
      </c>
      <c r="H16" s="69">
        <f t="shared" si="4"/>
        <v>266</v>
      </c>
      <c r="I16" s="69">
        <f t="shared" si="2"/>
        <v>5818.700000000001</v>
      </c>
      <c r="L16" s="142"/>
      <c r="M16" s="140"/>
    </row>
    <row r="17" spans="1:13" s="99" customFormat="1" ht="18" thickBot="1">
      <c r="A17" s="67" t="s">
        <v>25</v>
      </c>
      <c r="B17" s="24">
        <f>B14-B16</f>
        <v>138912.5</v>
      </c>
      <c r="C17" s="24">
        <f>C14-C16</f>
        <v>318318.40000000014</v>
      </c>
      <c r="D17" s="24">
        <f>D14-D16</f>
        <v>121878.29999999997</v>
      </c>
      <c r="E17" s="70">
        <f>D17/D14*100</f>
        <v>98.55704266524992</v>
      </c>
      <c r="F17" s="70">
        <f t="shared" si="3"/>
        <v>87.7374606316926</v>
      </c>
      <c r="G17" s="70">
        <f t="shared" si="0"/>
        <v>38.28817309963858</v>
      </c>
      <c r="H17" s="69">
        <f t="shared" si="4"/>
        <v>17034.200000000026</v>
      </c>
      <c r="I17" s="69">
        <f t="shared" si="2"/>
        <v>196440.10000000015</v>
      </c>
      <c r="L17" s="143"/>
      <c r="M17" s="140"/>
    </row>
    <row r="18" spans="1:13" ht="18" thickBot="1">
      <c r="A18" s="15" t="s">
        <v>15</v>
      </c>
      <c r="B18" s="26">
        <v>11664.3</v>
      </c>
      <c r="C18" s="27">
        <f>41761.1+70-1061</f>
        <v>40770.1</v>
      </c>
      <c r="D18" s="30">
        <f>655.3+80.5+46.2+18.4+110+706.3+152.7+0.1+172.1+51.2+461.9+18+472.8+71.1+1.1+793.8+0.7+130.7+393.6+73.7+99.5+39.8+516.4+346.4+15.4+220.4+211.3+1431.9+0.2-0.3+480+72.9+485+7.9+286+946+17.1</f>
        <v>9586.099999999999</v>
      </c>
      <c r="E18" s="3">
        <f>D18/D102*100</f>
        <v>1.2271477165254339</v>
      </c>
      <c r="F18" s="3">
        <f>D18/B18*100</f>
        <v>82.18324288641409</v>
      </c>
      <c r="G18" s="109">
        <f t="shared" si="0"/>
        <v>23.512574165871555</v>
      </c>
      <c r="H18" s="110">
        <f t="shared" si="4"/>
        <v>2078.2000000000007</v>
      </c>
      <c r="I18" s="28">
        <f t="shared" si="2"/>
        <v>31184</v>
      </c>
      <c r="L18" s="139"/>
      <c r="M18" s="140"/>
    </row>
    <row r="19" spans="1:13" s="99" customFormat="1" ht="17.25">
      <c r="A19" s="67" t="s">
        <v>3</v>
      </c>
      <c r="B19" s="23">
        <v>5848.3</v>
      </c>
      <c r="C19" s="24">
        <f>18042.4+70</f>
        <v>18112.4</v>
      </c>
      <c r="D19" s="25">
        <f>439.3+80.5+18.4+706.3+51.5+0.1+461.9+788.7+46.6+1.5+516.4+868+0.1+485+793.9</f>
        <v>5258.199999999999</v>
      </c>
      <c r="E19" s="70">
        <f>D19/D18*100</f>
        <v>54.85233828147004</v>
      </c>
      <c r="F19" s="70">
        <f t="shared" si="3"/>
        <v>89.9098883436212</v>
      </c>
      <c r="G19" s="70">
        <f t="shared" si="0"/>
        <v>29.030940129414095</v>
      </c>
      <c r="H19" s="69">
        <f t="shared" si="4"/>
        <v>590.1000000000013</v>
      </c>
      <c r="I19" s="69">
        <f t="shared" si="2"/>
        <v>12854.200000000003</v>
      </c>
      <c r="L19" s="142"/>
      <c r="M19" s="140"/>
    </row>
    <row r="20" spans="1:13" s="99" customFormat="1" ht="17.25">
      <c r="A20" s="67" t="s">
        <v>0</v>
      </c>
      <c r="B20" s="23">
        <v>1255.5</v>
      </c>
      <c r="C20" s="24">
        <v>2201.5</v>
      </c>
      <c r="D20" s="25">
        <f>9.4+64.7+0.1+5.1+1.4+0.5+77.9+211.1+7.8+0.2-0.1+12.2+4+39.7+113.4</f>
        <v>547.4</v>
      </c>
      <c r="E20" s="70">
        <f>D20/D18*100</f>
        <v>5.71035144636505</v>
      </c>
      <c r="F20" s="70">
        <f t="shared" si="3"/>
        <v>43.60015929908403</v>
      </c>
      <c r="G20" s="70">
        <f t="shared" si="0"/>
        <v>24.864864864864863</v>
      </c>
      <c r="H20" s="69">
        <f t="shared" si="4"/>
        <v>708.1</v>
      </c>
      <c r="I20" s="69">
        <f t="shared" si="2"/>
        <v>1654.1</v>
      </c>
      <c r="L20" s="142"/>
      <c r="M20" s="140"/>
    </row>
    <row r="21" spans="1:13" s="64" customFormat="1" ht="17.25" hidden="1">
      <c r="A21" s="106" t="s">
        <v>7</v>
      </c>
      <c r="B21" s="31"/>
      <c r="C21" s="113"/>
      <c r="D21" s="32"/>
      <c r="E21" s="73">
        <f>D21/D18*100</f>
        <v>0</v>
      </c>
      <c r="F21" s="73" t="e">
        <f t="shared" si="3"/>
        <v>#DIV/0!</v>
      </c>
      <c r="G21" s="73" t="e">
        <f t="shared" si="0"/>
        <v>#DIV/0!</v>
      </c>
      <c r="H21" s="66">
        <f t="shared" si="4"/>
        <v>0</v>
      </c>
      <c r="I21" s="71">
        <f t="shared" si="2"/>
        <v>0</v>
      </c>
      <c r="L21" s="144"/>
      <c r="M21" s="140"/>
    </row>
    <row r="22" spans="1:13" s="99" customFormat="1" ht="17.25">
      <c r="A22" s="67" t="s">
        <v>12</v>
      </c>
      <c r="B22" s="23">
        <v>92</v>
      </c>
      <c r="C22" s="24">
        <v>377.7</v>
      </c>
      <c r="D22" s="24">
        <f>23+23+23+23</f>
        <v>92</v>
      </c>
      <c r="E22" s="70">
        <f>D22/D18*100</f>
        <v>0.9597229321621933</v>
      </c>
      <c r="F22" s="70">
        <f t="shared" si="3"/>
        <v>100</v>
      </c>
      <c r="G22" s="70">
        <f t="shared" si="0"/>
        <v>24.357956049774955</v>
      </c>
      <c r="H22" s="69">
        <f t="shared" si="4"/>
        <v>0</v>
      </c>
      <c r="I22" s="69">
        <f t="shared" si="2"/>
        <v>285.7</v>
      </c>
      <c r="L22" s="142"/>
      <c r="M22" s="140"/>
    </row>
    <row r="23" spans="1:13" s="99" customFormat="1" ht="18" thickBot="1">
      <c r="A23" s="67" t="s">
        <v>25</v>
      </c>
      <c r="B23" s="23">
        <f>B18-B19-B20-B21-B22</f>
        <v>4468.499999999999</v>
      </c>
      <c r="C23" s="23">
        <f>C18-C19-C20-C21-C22</f>
        <v>20078.499999999996</v>
      </c>
      <c r="D23" s="23">
        <f>D18-D19-D20-D21-D22</f>
        <v>3688.4999999999995</v>
      </c>
      <c r="E23" s="70">
        <f>D23/D18*100</f>
        <v>38.477587340002714</v>
      </c>
      <c r="F23" s="70">
        <f t="shared" si="3"/>
        <v>82.54447801275596</v>
      </c>
      <c r="G23" s="70">
        <f t="shared" si="0"/>
        <v>18.370396194934884</v>
      </c>
      <c r="H23" s="69">
        <f t="shared" si="4"/>
        <v>779.9999999999995</v>
      </c>
      <c r="I23" s="69">
        <f t="shared" si="2"/>
        <v>16389.999999999996</v>
      </c>
      <c r="L23" s="142"/>
      <c r="M23" s="140"/>
    </row>
    <row r="24" spans="1:13" ht="18" thickBot="1">
      <c r="A24" s="11" t="s">
        <v>14</v>
      </c>
      <c r="B24" s="51">
        <f>436.5+10</f>
        <v>446.5</v>
      </c>
      <c r="C24" s="27">
        <f>1012.4+10</f>
        <v>1022.4</v>
      </c>
      <c r="D24" s="28">
        <f>91.3+39.2+10+0.1+89.3</f>
        <v>229.89999999999998</v>
      </c>
      <c r="E24" s="3">
        <f>D24/D102*100</f>
        <v>0.029430243793534108</v>
      </c>
      <c r="F24" s="3">
        <f>D24/B24*100</f>
        <v>51.48936170212765</v>
      </c>
      <c r="G24" s="3">
        <f t="shared" si="0"/>
        <v>22.486306729264474</v>
      </c>
      <c r="H24" s="110">
        <f t="shared" si="4"/>
        <v>216.60000000000002</v>
      </c>
      <c r="I24" s="28">
        <f t="shared" si="2"/>
        <v>792.5</v>
      </c>
      <c r="L24" s="145"/>
      <c r="M24" s="140"/>
    </row>
    <row r="25" spans="1:13" ht="12" customHeight="1" thickBot="1">
      <c r="A25" s="17"/>
      <c r="B25" s="34"/>
      <c r="C25" s="35"/>
      <c r="D25" s="36"/>
      <c r="E25" s="7"/>
      <c r="F25" s="7"/>
      <c r="G25" s="7"/>
      <c r="H25" s="36"/>
      <c r="I25" s="36"/>
      <c r="L25" s="144"/>
      <c r="M25" s="140"/>
    </row>
    <row r="26" spans="1:13" ht="18" thickBot="1">
      <c r="A26" s="15" t="s">
        <v>65</v>
      </c>
      <c r="B26" s="26">
        <f>7053.5+49</f>
        <v>7102.5</v>
      </c>
      <c r="C26" s="27">
        <f>19760.4+48.5+60.8+4.4+97.7+0.1</f>
        <v>19971.9</v>
      </c>
      <c r="D26" s="28">
        <f>322.8+122+962.2+488.8+100.9+14.8+9.9+958+746.4+4.2+14.6+933-0.1+75.9+491.3+146.4+57.2+28.1+934.1+0.4</f>
        <v>6410.9</v>
      </c>
      <c r="E26" s="3">
        <f>D26/D102*100</f>
        <v>0.8206800780163889</v>
      </c>
      <c r="F26" s="3">
        <f>D26/B26*100</f>
        <v>90.26258359732489</v>
      </c>
      <c r="G26" s="3">
        <f aca="true" t="shared" si="5" ref="G26:G47">D26/C26*100</f>
        <v>32.099599937912764</v>
      </c>
      <c r="H26" s="28">
        <f>B26-D26</f>
        <v>691.6000000000004</v>
      </c>
      <c r="I26" s="28">
        <f aca="true" t="shared" si="6" ref="I26:I49">C26-D26</f>
        <v>13561.000000000002</v>
      </c>
      <c r="L26" s="139"/>
      <c r="M26" s="140"/>
    </row>
    <row r="27" spans="1:13" s="99" customFormat="1" ht="17.25">
      <c r="A27" s="67" t="s">
        <v>3</v>
      </c>
      <c r="B27" s="23">
        <v>6151.4</v>
      </c>
      <c r="C27" s="84">
        <v>18272.9</v>
      </c>
      <c r="D27" s="69">
        <f>322.8+122+937.8+400.3+98.1+932.4+0.1+666.8+925.6+472.2+146.4+922</f>
        <v>5946.499999999999</v>
      </c>
      <c r="E27" s="70">
        <f>D27/D26*100</f>
        <v>92.75608728883618</v>
      </c>
      <c r="F27" s="70">
        <f aca="true" t="shared" si="7" ref="F27:F47">D27/B27*100</f>
        <v>96.66905094775173</v>
      </c>
      <c r="G27" s="70">
        <f t="shared" si="5"/>
        <v>32.54272720805126</v>
      </c>
      <c r="H27" s="69">
        <f aca="true" t="shared" si="8" ref="H27:H47">B27-D27</f>
        <v>204.90000000000055</v>
      </c>
      <c r="I27" s="69">
        <f t="shared" si="6"/>
        <v>12326.400000000001</v>
      </c>
      <c r="L27" s="142"/>
      <c r="M27" s="140"/>
    </row>
    <row r="28" spans="1:13" s="99" customFormat="1" ht="17.25">
      <c r="A28" s="67" t="s">
        <v>2</v>
      </c>
      <c r="B28" s="23">
        <v>61.6</v>
      </c>
      <c r="C28" s="84">
        <f>1.7+60.8</f>
        <v>62.5</v>
      </c>
      <c r="D28" s="69">
        <f>4+32.8+0.5+4.1+0.7</f>
        <v>42.1</v>
      </c>
      <c r="E28" s="70">
        <f>D28/D26*100</f>
        <v>0.6566940679155814</v>
      </c>
      <c r="F28" s="70">
        <f t="shared" si="7"/>
        <v>68.34415584415584</v>
      </c>
      <c r="G28" s="70">
        <f t="shared" si="5"/>
        <v>67.36</v>
      </c>
      <c r="H28" s="69">
        <f t="shared" si="8"/>
        <v>19.5</v>
      </c>
      <c r="I28" s="69">
        <f t="shared" si="6"/>
        <v>20.4</v>
      </c>
      <c r="L28" s="142"/>
      <c r="M28" s="140"/>
    </row>
    <row r="29" spans="1:13" s="99" customFormat="1" ht="17.25">
      <c r="A29" s="67" t="s">
        <v>1</v>
      </c>
      <c r="B29" s="23">
        <v>45.1</v>
      </c>
      <c r="C29" s="84">
        <v>112.7</v>
      </c>
      <c r="D29" s="69">
        <f>10.1+9.5-10.1+10.4</f>
        <v>19.900000000000002</v>
      </c>
      <c r="E29" s="70">
        <f>D29/D26*100</f>
        <v>0.3104088349529708</v>
      </c>
      <c r="F29" s="70">
        <f t="shared" si="7"/>
        <v>44.12416851441242</v>
      </c>
      <c r="G29" s="70">
        <f t="shared" si="5"/>
        <v>17.657497781721386</v>
      </c>
      <c r="H29" s="69">
        <f t="shared" si="8"/>
        <v>25.2</v>
      </c>
      <c r="I29" s="69">
        <f t="shared" si="6"/>
        <v>92.8</v>
      </c>
      <c r="L29" s="142"/>
      <c r="M29" s="140"/>
    </row>
    <row r="30" spans="1:13" s="99" customFormat="1" ht="17.25">
      <c r="A30" s="67" t="s">
        <v>0</v>
      </c>
      <c r="B30" s="23">
        <v>540.7</v>
      </c>
      <c r="C30" s="84">
        <v>936.3</v>
      </c>
      <c r="D30" s="69">
        <f>73.4+3.8+23.9+54.4+12.4-3.8+7.8+17.9+23.5+11.4</f>
        <v>224.70000000000002</v>
      </c>
      <c r="E30" s="70">
        <f>D30/D26*100</f>
        <v>3.50496810120264</v>
      </c>
      <c r="F30" s="70">
        <f t="shared" si="7"/>
        <v>41.557240614018866</v>
      </c>
      <c r="G30" s="70">
        <f t="shared" si="5"/>
        <v>23.998718359500163</v>
      </c>
      <c r="H30" s="69">
        <f t="shared" si="8"/>
        <v>316</v>
      </c>
      <c r="I30" s="69">
        <f t="shared" si="6"/>
        <v>711.5999999999999</v>
      </c>
      <c r="L30" s="142"/>
      <c r="M30" s="140"/>
    </row>
    <row r="31" spans="1:13" s="99" customFormat="1" ht="18" thickBot="1">
      <c r="A31" s="67" t="s">
        <v>25</v>
      </c>
      <c r="B31" s="24">
        <f>B26-B27-B30-B29-B28</f>
        <v>303.7000000000003</v>
      </c>
      <c r="C31" s="84">
        <f>C26-C27-C30-C29-C28</f>
        <v>587.5</v>
      </c>
      <c r="D31" s="84">
        <f>D26-D27-D30-D29-D28</f>
        <v>177.70000000000053</v>
      </c>
      <c r="E31" s="70">
        <f>D31/D26*100</f>
        <v>2.7718417070926162</v>
      </c>
      <c r="F31" s="70">
        <f t="shared" si="7"/>
        <v>58.51168916694118</v>
      </c>
      <c r="G31" s="70">
        <f t="shared" si="5"/>
        <v>30.246808510638388</v>
      </c>
      <c r="H31" s="69">
        <f t="shared" si="8"/>
        <v>125.99999999999974</v>
      </c>
      <c r="I31" s="69">
        <f t="shared" si="6"/>
        <v>409.7999999999995</v>
      </c>
      <c r="L31" s="143"/>
      <c r="M31" s="140"/>
    </row>
    <row r="32" spans="1:13" ht="18" thickBot="1">
      <c r="A32" s="15" t="s">
        <v>4</v>
      </c>
      <c r="B32" s="26">
        <v>19742.8</v>
      </c>
      <c r="C32" s="27">
        <f>71765-2470</f>
        <v>69295</v>
      </c>
      <c r="D32" s="28">
        <f>816.5+191.4+1724.8+1.5-0.1+34.9+61.5+1109+55.6+318.2+8.1+2202.5+118.5+17.5+182.9+313.4+1050.7+331.2+40.5+3104.6+0.4+1429.5+76.8+11.5+2264.3+21.2</f>
        <v>15486.900000000001</v>
      </c>
      <c r="E32" s="3">
        <f>D32/D102*100</f>
        <v>1.9825282410007978</v>
      </c>
      <c r="F32" s="3">
        <f>D32/B32*100</f>
        <v>78.4432805883664</v>
      </c>
      <c r="G32" s="3">
        <f t="shared" si="5"/>
        <v>22.349231546287612</v>
      </c>
      <c r="H32" s="28">
        <f>B32-D32</f>
        <v>4255.899999999998</v>
      </c>
      <c r="I32" s="28">
        <f t="shared" si="6"/>
        <v>53808.1</v>
      </c>
      <c r="L32" s="139"/>
      <c r="M32" s="140"/>
    </row>
    <row r="33" spans="1:13" s="99" customFormat="1" ht="17.25">
      <c r="A33" s="67" t="s">
        <v>3</v>
      </c>
      <c r="B33" s="23">
        <v>11022.1</v>
      </c>
      <c r="C33" s="24">
        <v>34449.5</v>
      </c>
      <c r="D33" s="25">
        <f>816.5+1422.6+34.9+1109+1285.7+0.1+98.7+962.2+1524.3+1063.4+1426.4</f>
        <v>9743.8</v>
      </c>
      <c r="E33" s="70">
        <f>D33/D32*100</f>
        <v>62.91640031252218</v>
      </c>
      <c r="F33" s="70">
        <f t="shared" si="7"/>
        <v>88.40239155877737</v>
      </c>
      <c r="G33" s="70">
        <f t="shared" si="5"/>
        <v>28.284300207550178</v>
      </c>
      <c r="H33" s="69">
        <f t="shared" si="8"/>
        <v>1278.300000000001</v>
      </c>
      <c r="I33" s="69">
        <f t="shared" si="6"/>
        <v>24705.7</v>
      </c>
      <c r="L33" s="142"/>
      <c r="M33" s="140"/>
    </row>
    <row r="34" spans="1:13" s="99" customFormat="1" ht="17.25">
      <c r="A34" s="67" t="s">
        <v>2</v>
      </c>
      <c r="B34" s="23">
        <v>0</v>
      </c>
      <c r="C34" s="24">
        <v>17.4</v>
      </c>
      <c r="D34" s="25"/>
      <c r="E34" s="70">
        <f>D34/D32*100</f>
        <v>0</v>
      </c>
      <c r="F34" s="70"/>
      <c r="G34" s="70">
        <f t="shared" si="5"/>
        <v>0</v>
      </c>
      <c r="H34" s="69">
        <f t="shared" si="8"/>
        <v>0</v>
      </c>
      <c r="I34" s="69">
        <f t="shared" si="6"/>
        <v>17.4</v>
      </c>
      <c r="L34" s="142"/>
      <c r="M34" s="140"/>
    </row>
    <row r="35" spans="1:13" s="99" customFormat="1" ht="17.25">
      <c r="A35" s="67" t="s">
        <v>1</v>
      </c>
      <c r="B35" s="23">
        <v>1285.9</v>
      </c>
      <c r="C35" s="24">
        <v>4156.3</v>
      </c>
      <c r="D35" s="25">
        <f>1.5+4+16.8+48.5+72.6+15.7+40.2+25.9+199.8+10+3.6</f>
        <v>438.6</v>
      </c>
      <c r="E35" s="70">
        <f>D35/D32*100</f>
        <v>2.8320709761152973</v>
      </c>
      <c r="F35" s="70">
        <f t="shared" si="7"/>
        <v>34.10840656349639</v>
      </c>
      <c r="G35" s="70">
        <f t="shared" si="5"/>
        <v>10.552655005654067</v>
      </c>
      <c r="H35" s="69">
        <f t="shared" si="8"/>
        <v>847.3000000000001</v>
      </c>
      <c r="I35" s="69">
        <f t="shared" si="6"/>
        <v>3717.7000000000003</v>
      </c>
      <c r="L35" s="142"/>
      <c r="M35" s="140"/>
    </row>
    <row r="36" spans="1:13" s="99" customFormat="1" ht="17.25">
      <c r="A36" s="67" t="s">
        <v>0</v>
      </c>
      <c r="B36" s="23">
        <v>663.7</v>
      </c>
      <c r="C36" s="24">
        <v>1373.7</v>
      </c>
      <c r="D36" s="25">
        <f>25.4+8.1+84.1+28.9+2.9+16.1+6.3+0.5+94.6+0.4+4+40.2+28</f>
        <v>339.49999999999994</v>
      </c>
      <c r="E36" s="70">
        <f>D36/D32*100</f>
        <v>2.1921753223692275</v>
      </c>
      <c r="F36" s="70">
        <f t="shared" si="7"/>
        <v>51.15262919993972</v>
      </c>
      <c r="G36" s="70">
        <f t="shared" si="5"/>
        <v>24.71427531484312</v>
      </c>
      <c r="H36" s="69">
        <f t="shared" si="8"/>
        <v>324.2000000000001</v>
      </c>
      <c r="I36" s="69">
        <f t="shared" si="6"/>
        <v>1034.2</v>
      </c>
      <c r="L36" s="142"/>
      <c r="M36" s="140"/>
    </row>
    <row r="37" spans="1:13" s="99" customFormat="1" ht="17.25">
      <c r="A37" s="67" t="s">
        <v>12</v>
      </c>
      <c r="B37" s="23">
        <v>1287.1</v>
      </c>
      <c r="C37" s="24">
        <v>7508.7</v>
      </c>
      <c r="D37" s="24">
        <f>390.7+396.4+396.4</f>
        <v>1183.5</v>
      </c>
      <c r="E37" s="70">
        <f>D37/D32*100</f>
        <v>7.641942544989636</v>
      </c>
      <c r="F37" s="70">
        <f>D37/B37*100</f>
        <v>91.95089736617203</v>
      </c>
      <c r="G37" s="70">
        <f>D37/C37*100</f>
        <v>15.7617164089656</v>
      </c>
      <c r="H37" s="69">
        <f t="shared" si="8"/>
        <v>103.59999999999991</v>
      </c>
      <c r="I37" s="69">
        <f t="shared" si="6"/>
        <v>6325.2</v>
      </c>
      <c r="L37" s="142"/>
      <c r="M37" s="140"/>
    </row>
    <row r="38" spans="1:13" s="99" customFormat="1" ht="18" thickBot="1">
      <c r="A38" s="67" t="s">
        <v>25</v>
      </c>
      <c r="B38" s="24">
        <f>B32-B33-B36-B35-B34-B37</f>
        <v>5483.999999999998</v>
      </c>
      <c r="C38" s="24">
        <f>C32-C33-C36-C35-C34-C37</f>
        <v>21789.4</v>
      </c>
      <c r="D38" s="24">
        <f>D32-D33-D36-D35-D34-D37</f>
        <v>3781.500000000002</v>
      </c>
      <c r="E38" s="70">
        <f>D38/D32*100</f>
        <v>24.41741084400365</v>
      </c>
      <c r="F38" s="70">
        <f t="shared" si="7"/>
        <v>68.95514223194755</v>
      </c>
      <c r="G38" s="70">
        <f t="shared" si="5"/>
        <v>17.354768832551613</v>
      </c>
      <c r="H38" s="69">
        <f>B38-D38</f>
        <v>1702.4999999999964</v>
      </c>
      <c r="I38" s="69">
        <f>C38-D38</f>
        <v>18007.9</v>
      </c>
      <c r="L38" s="143"/>
      <c r="M38" s="140"/>
    </row>
    <row r="39" spans="1:13" ht="18" thickBot="1">
      <c r="A39" s="15" t="s">
        <v>6</v>
      </c>
      <c r="B39" s="26">
        <f>1337.2+7.4</f>
        <v>1344.6000000000001</v>
      </c>
      <c r="C39" s="27">
        <f>12515.9+17.5+7.4</f>
        <v>12540.8</v>
      </c>
      <c r="D39" s="28">
        <f>41.7+1.9+131.2+51.7+54.6+20+131.7+155.8+49.3+4+72+156.5+50.4+12.4+1.3+146.2</f>
        <v>1080.6999999999998</v>
      </c>
      <c r="E39" s="3">
        <f>D39/D102*100</f>
        <v>0.1383439080803493</v>
      </c>
      <c r="F39" s="3">
        <f>D39/B39*100</f>
        <v>80.37334523278297</v>
      </c>
      <c r="G39" s="3">
        <f t="shared" si="5"/>
        <v>8.617472569533042</v>
      </c>
      <c r="H39" s="28">
        <f>B39-D39</f>
        <v>263.9000000000003</v>
      </c>
      <c r="I39" s="28">
        <f t="shared" si="6"/>
        <v>11460.099999999999</v>
      </c>
      <c r="L39" s="139"/>
      <c r="M39" s="140"/>
    </row>
    <row r="40" spans="1:13" s="99" customFormat="1" ht="17.25">
      <c r="A40" s="67" t="s">
        <v>3</v>
      </c>
      <c r="B40" s="115">
        <v>895.9</v>
      </c>
      <c r="C40" s="84">
        <v>2865.8</v>
      </c>
      <c r="D40" s="69">
        <f>41.7+131.2+53.5+131.7+48.3+154.8-0.1+49.4+145</f>
        <v>755.5</v>
      </c>
      <c r="E40" s="70">
        <f>D40/D39*100</f>
        <v>69.90839270842973</v>
      </c>
      <c r="F40" s="70">
        <f t="shared" si="7"/>
        <v>84.328608103583</v>
      </c>
      <c r="G40" s="70">
        <f t="shared" si="5"/>
        <v>26.362621257589502</v>
      </c>
      <c r="H40" s="69">
        <f t="shared" si="8"/>
        <v>140.39999999999998</v>
      </c>
      <c r="I40" s="69">
        <f t="shared" si="6"/>
        <v>2110.3</v>
      </c>
      <c r="L40" s="146"/>
      <c r="M40" s="140"/>
    </row>
    <row r="41" spans="1:13" s="99" customFormat="1" ht="17.25">
      <c r="A41" s="67" t="s">
        <v>1</v>
      </c>
      <c r="B41" s="115">
        <v>0</v>
      </c>
      <c r="C41" s="84">
        <v>445.2</v>
      </c>
      <c r="D41" s="69"/>
      <c r="E41" s="70">
        <f>D41/D39*100</f>
        <v>0</v>
      </c>
      <c r="F41" s="70"/>
      <c r="G41" s="70">
        <f t="shared" si="5"/>
        <v>0</v>
      </c>
      <c r="H41" s="69">
        <f t="shared" si="8"/>
        <v>0</v>
      </c>
      <c r="I41" s="69">
        <f t="shared" si="6"/>
        <v>445.2</v>
      </c>
      <c r="L41" s="146"/>
      <c r="M41" s="140"/>
    </row>
    <row r="42" spans="1:13" s="99" customFormat="1" ht="17.25">
      <c r="A42" s="67" t="s">
        <v>0</v>
      </c>
      <c r="B42" s="115">
        <v>45.8</v>
      </c>
      <c r="C42" s="84">
        <v>77.1</v>
      </c>
      <c r="D42" s="69"/>
      <c r="E42" s="70">
        <f>D42/D39*100</f>
        <v>0</v>
      </c>
      <c r="F42" s="70">
        <f t="shared" si="7"/>
        <v>0</v>
      </c>
      <c r="G42" s="70">
        <f t="shared" si="5"/>
        <v>0</v>
      </c>
      <c r="H42" s="69">
        <f t="shared" si="8"/>
        <v>45.8</v>
      </c>
      <c r="I42" s="69">
        <f t="shared" si="6"/>
        <v>77.1</v>
      </c>
      <c r="L42" s="146"/>
      <c r="M42" s="140"/>
    </row>
    <row r="43" spans="1:13" s="99" customFormat="1" ht="17.25">
      <c r="A43" s="67" t="s">
        <v>12</v>
      </c>
      <c r="B43" s="115">
        <v>0</v>
      </c>
      <c r="C43" s="84">
        <v>3657.8</v>
      </c>
      <c r="D43" s="69"/>
      <c r="E43" s="70">
        <f>D43/D39*100</f>
        <v>0</v>
      </c>
      <c r="F43" s="70"/>
      <c r="G43" s="70">
        <f t="shared" si="5"/>
        <v>0</v>
      </c>
      <c r="H43" s="69">
        <f t="shared" si="8"/>
        <v>0</v>
      </c>
      <c r="I43" s="69">
        <f t="shared" si="6"/>
        <v>3657.8</v>
      </c>
      <c r="L43" s="146"/>
      <c r="M43" s="140"/>
    </row>
    <row r="44" spans="1:13" s="99" customFormat="1" ht="18" thickBot="1">
      <c r="A44" s="67" t="s">
        <v>25</v>
      </c>
      <c r="B44" s="24">
        <f>B39-B40-B42-B43-B41</f>
        <v>402.90000000000015</v>
      </c>
      <c r="C44" s="84">
        <f>C39-C40-C42-C43-C41</f>
        <v>5494.9</v>
      </c>
      <c r="D44" s="84">
        <f>D39-D40-D42-D43-D41</f>
        <v>325.1999999999998</v>
      </c>
      <c r="E44" s="70">
        <f>D44/D39*100</f>
        <v>30.091607291570266</v>
      </c>
      <c r="F44" s="70">
        <f t="shared" si="7"/>
        <v>80.71481757259859</v>
      </c>
      <c r="G44" s="70">
        <f t="shared" si="5"/>
        <v>5.918215072157816</v>
      </c>
      <c r="H44" s="69">
        <f t="shared" si="8"/>
        <v>77.70000000000033</v>
      </c>
      <c r="I44" s="69">
        <f t="shared" si="6"/>
        <v>5169.7</v>
      </c>
      <c r="L44" s="143"/>
      <c r="M44" s="140"/>
    </row>
    <row r="45" spans="1:13" ht="18" thickBot="1">
      <c r="A45" s="15" t="s">
        <v>18</v>
      </c>
      <c r="B45" s="27">
        <f>B46+B47</f>
        <v>183.3</v>
      </c>
      <c r="C45" s="27">
        <f>C46+C47</f>
        <v>457.3</v>
      </c>
      <c r="D45" s="28">
        <f>D46+D47</f>
        <v>0</v>
      </c>
      <c r="E45" s="19">
        <f>D45/D102*100</f>
        <v>0</v>
      </c>
      <c r="F45" s="3">
        <f>D45/B45*100</f>
        <v>0</v>
      </c>
      <c r="G45" s="3">
        <f t="shared" si="5"/>
        <v>0</v>
      </c>
      <c r="H45" s="28">
        <f>B45-D45</f>
        <v>183.3</v>
      </c>
      <c r="I45" s="28">
        <f t="shared" si="6"/>
        <v>457.3</v>
      </c>
      <c r="L45" s="147"/>
      <c r="M45" s="140"/>
    </row>
    <row r="46" spans="1:13" s="99" customFormat="1" ht="17.25">
      <c r="A46" s="67" t="s">
        <v>62</v>
      </c>
      <c r="B46" s="23">
        <v>167.3</v>
      </c>
      <c r="C46" s="24">
        <v>217.3</v>
      </c>
      <c r="D46" s="69"/>
      <c r="E46" s="70"/>
      <c r="F46" s="70">
        <f t="shared" si="7"/>
        <v>0</v>
      </c>
      <c r="G46" s="70">
        <f t="shared" si="5"/>
        <v>0</v>
      </c>
      <c r="H46" s="69">
        <f t="shared" si="8"/>
        <v>167.3</v>
      </c>
      <c r="I46" s="69">
        <f t="shared" si="6"/>
        <v>217.3</v>
      </c>
      <c r="L46" s="142"/>
      <c r="M46" s="140"/>
    </row>
    <row r="47" spans="1:13" s="99" customFormat="1" ht="17.25">
      <c r="A47" s="105" t="s">
        <v>63</v>
      </c>
      <c r="B47" s="23">
        <f>91-75</f>
        <v>16</v>
      </c>
      <c r="C47" s="24">
        <f>84+336-105-75</f>
        <v>240</v>
      </c>
      <c r="D47" s="69"/>
      <c r="E47" s="70"/>
      <c r="F47" s="70">
        <f t="shared" si="7"/>
        <v>0</v>
      </c>
      <c r="G47" s="70">
        <f t="shared" si="5"/>
        <v>0</v>
      </c>
      <c r="H47" s="69">
        <f t="shared" si="8"/>
        <v>16</v>
      </c>
      <c r="I47" s="69">
        <f t="shared" si="6"/>
        <v>240</v>
      </c>
      <c r="L47" s="142"/>
      <c r="M47" s="140"/>
    </row>
    <row r="48" spans="1:13" s="99" customFormat="1" ht="18" thickBot="1">
      <c r="A48" s="67" t="s">
        <v>37</v>
      </c>
      <c r="B48" s="23">
        <v>0</v>
      </c>
      <c r="C48" s="24">
        <v>0</v>
      </c>
      <c r="D48" s="84"/>
      <c r="E48" s="70"/>
      <c r="F48" s="70"/>
      <c r="G48" s="70"/>
      <c r="H48" s="69">
        <f>B48-D48</f>
        <v>0</v>
      </c>
      <c r="I48" s="69">
        <f>C48-D48</f>
        <v>0</v>
      </c>
      <c r="L48" s="142"/>
      <c r="M48" s="140"/>
    </row>
    <row r="49" spans="1:13" s="21" customFormat="1" ht="18" thickBot="1">
      <c r="A49" s="17" t="s">
        <v>11</v>
      </c>
      <c r="B49" s="34">
        <v>1714.7</v>
      </c>
      <c r="C49" s="114">
        <v>11614.7</v>
      </c>
      <c r="D49" s="39"/>
      <c r="E49" s="22"/>
      <c r="F49" s="22"/>
      <c r="G49" s="22"/>
      <c r="H49" s="39">
        <f>B49-D49</f>
        <v>1714.7</v>
      </c>
      <c r="I49" s="39">
        <f t="shared" si="6"/>
        <v>11614.7</v>
      </c>
      <c r="L49" s="144"/>
      <c r="M49" s="140"/>
    </row>
    <row r="50" spans="1:13" ht="8.25" customHeight="1" thickBot="1">
      <c r="A50" s="12"/>
      <c r="B50" s="31"/>
      <c r="C50" s="37"/>
      <c r="D50" s="38"/>
      <c r="E50" s="6"/>
      <c r="F50" s="6"/>
      <c r="G50" s="6"/>
      <c r="H50" s="38"/>
      <c r="I50" s="101"/>
      <c r="L50" s="144"/>
      <c r="M50" s="140"/>
    </row>
    <row r="51" spans="1:13" ht="18.75" customHeight="1" hidden="1" thickBot="1">
      <c r="A51" s="11" t="s">
        <v>43</v>
      </c>
      <c r="B51" s="33"/>
      <c r="C51" s="27"/>
      <c r="D51" s="27"/>
      <c r="E51" s="3">
        <f>D51/D102*100</f>
        <v>0</v>
      </c>
      <c r="F51" s="3" t="e">
        <f>D51/B51*100</f>
        <v>#DIV/0!</v>
      </c>
      <c r="G51" s="3" t="e">
        <f aca="true" t="shared" si="9" ref="G51:G64">D51/C51*100</f>
        <v>#DIV/0!</v>
      </c>
      <c r="H51" s="28">
        <f>B51-D51</f>
        <v>0</v>
      </c>
      <c r="I51" s="28">
        <f aca="true" t="shared" si="10" ref="I51:I64">C51-D51</f>
        <v>0</v>
      </c>
      <c r="L51" s="148"/>
      <c r="M51" s="140"/>
    </row>
    <row r="52" spans="1:13" s="8" customFormat="1" ht="18" hidden="1" thickBot="1">
      <c r="A52" s="9" t="s">
        <v>42</v>
      </c>
      <c r="B52" s="40"/>
      <c r="C52" s="24"/>
      <c r="D52" s="25"/>
      <c r="E52" s="48"/>
      <c r="F52" s="1" t="e">
        <f>D52/B52*100</f>
        <v>#DIV/0!</v>
      </c>
      <c r="G52" s="1" t="e">
        <f t="shared" si="9"/>
        <v>#DIV/0!</v>
      </c>
      <c r="H52" s="25">
        <f>B52-D52</f>
        <v>0</v>
      </c>
      <c r="I52" s="25">
        <f t="shared" si="10"/>
        <v>0</v>
      </c>
      <c r="L52" s="149"/>
      <c r="M52" s="140"/>
    </row>
    <row r="53" spans="1:13" s="8" customFormat="1" ht="31.5" hidden="1" thickBot="1">
      <c r="A53" s="9" t="s">
        <v>40</v>
      </c>
      <c r="B53" s="40"/>
      <c r="C53" s="24"/>
      <c r="D53" s="25"/>
      <c r="E53" s="48"/>
      <c r="F53" s="1" t="e">
        <f>D53/B53*100</f>
        <v>#DIV/0!</v>
      </c>
      <c r="G53" s="1" t="e">
        <f t="shared" si="9"/>
        <v>#DIV/0!</v>
      </c>
      <c r="H53" s="25">
        <f>B53-D53</f>
        <v>0</v>
      </c>
      <c r="I53" s="25">
        <f t="shared" si="10"/>
        <v>0</v>
      </c>
      <c r="L53" s="149"/>
      <c r="M53" s="140"/>
    </row>
    <row r="54" spans="1:13" s="8" customFormat="1" ht="16.5" customHeight="1" hidden="1">
      <c r="A54" s="9" t="s">
        <v>30</v>
      </c>
      <c r="B54" s="40"/>
      <c r="C54" s="24"/>
      <c r="D54" s="25"/>
      <c r="E54" s="1" t="e">
        <f>D54/D51*100</f>
        <v>#DIV/0!</v>
      </c>
      <c r="F54" s="1"/>
      <c r="G54" s="1" t="e">
        <f t="shared" si="9"/>
        <v>#DIV/0!</v>
      </c>
      <c r="H54" s="25"/>
      <c r="I54" s="25">
        <f t="shared" si="10"/>
        <v>0</v>
      </c>
      <c r="L54" s="149"/>
      <c r="M54" s="140"/>
    </row>
    <row r="55" spans="1:13" s="8" customFormat="1" ht="33" customHeight="1" hidden="1" thickBot="1">
      <c r="A55" s="9" t="s">
        <v>34</v>
      </c>
      <c r="B55" s="40"/>
      <c r="C55" s="24"/>
      <c r="D55" s="24"/>
      <c r="E55" s="1" t="e">
        <f>D55/D51*100</f>
        <v>#DIV/0!</v>
      </c>
      <c r="F55" s="1"/>
      <c r="G55" s="1" t="e">
        <f t="shared" si="9"/>
        <v>#DIV/0!</v>
      </c>
      <c r="H55" s="25"/>
      <c r="I55" s="25">
        <f t="shared" si="10"/>
        <v>0</v>
      </c>
      <c r="L55" s="149"/>
      <c r="M55" s="140"/>
    </row>
    <row r="56" spans="1:13" ht="35.25" customHeight="1" hidden="1" thickBot="1">
      <c r="A56" s="11" t="s">
        <v>31</v>
      </c>
      <c r="B56" s="33"/>
      <c r="C56" s="27"/>
      <c r="D56" s="27"/>
      <c r="E56" s="3">
        <f>D56/D102*100</f>
        <v>0</v>
      </c>
      <c r="F56" s="3"/>
      <c r="G56" s="3" t="e">
        <f t="shared" si="9"/>
        <v>#DIV/0!</v>
      </c>
      <c r="H56" s="28"/>
      <c r="I56" s="28">
        <f t="shared" si="10"/>
        <v>0</v>
      </c>
      <c r="L56" s="148"/>
      <c r="M56" s="140"/>
    </row>
    <row r="57" spans="1:13" ht="16.5" customHeight="1" hidden="1">
      <c r="A57" s="16" t="s">
        <v>21</v>
      </c>
      <c r="B57" s="23"/>
      <c r="C57" s="37"/>
      <c r="D57" s="37"/>
      <c r="E57" s="6" t="e">
        <f>D57/D56*100</f>
        <v>#DIV/0!</v>
      </c>
      <c r="F57" s="6"/>
      <c r="G57" s="6" t="e">
        <f t="shared" si="9"/>
        <v>#DIV/0!</v>
      </c>
      <c r="H57" s="38"/>
      <c r="I57" s="25">
        <f t="shared" si="10"/>
        <v>0</v>
      </c>
      <c r="L57" s="142"/>
      <c r="M57" s="140"/>
    </row>
    <row r="58" spans="1:13" ht="16.5" customHeight="1" hidden="1" thickBot="1">
      <c r="A58" s="16" t="s">
        <v>22</v>
      </c>
      <c r="B58" s="23"/>
      <c r="C58" s="37"/>
      <c r="D58" s="37"/>
      <c r="E58" s="6" t="e">
        <f>D58/D56*100</f>
        <v>#DIV/0!</v>
      </c>
      <c r="F58" s="6"/>
      <c r="G58" s="6" t="e">
        <f t="shared" si="9"/>
        <v>#DIV/0!</v>
      </c>
      <c r="H58" s="38"/>
      <c r="I58" s="25">
        <f t="shared" si="10"/>
        <v>0</v>
      </c>
      <c r="L58" s="142"/>
      <c r="M58" s="140"/>
    </row>
    <row r="59" spans="1:13" ht="34.5" customHeight="1" hidden="1" thickBot="1">
      <c r="A59" s="11" t="s">
        <v>32</v>
      </c>
      <c r="B59" s="33"/>
      <c r="C59" s="27"/>
      <c r="D59" s="27"/>
      <c r="E59" s="3">
        <f>D59/D102*100</f>
        <v>0</v>
      </c>
      <c r="F59" s="3"/>
      <c r="G59" s="3" t="e">
        <f t="shared" si="9"/>
        <v>#DIV/0!</v>
      </c>
      <c r="H59" s="28"/>
      <c r="I59" s="28">
        <f t="shared" si="10"/>
        <v>0</v>
      </c>
      <c r="L59" s="148"/>
      <c r="M59" s="140"/>
    </row>
    <row r="60" spans="1:13" ht="17.25" customHeight="1" hidden="1">
      <c r="A60" s="16" t="s">
        <v>21</v>
      </c>
      <c r="B60" s="23"/>
      <c r="C60" s="24"/>
      <c r="D60" s="25"/>
      <c r="E60" s="1" t="e">
        <f>D60/D59*100</f>
        <v>#DIV/0!</v>
      </c>
      <c r="F60" s="1"/>
      <c r="G60" s="1" t="e">
        <f t="shared" si="9"/>
        <v>#DIV/0!</v>
      </c>
      <c r="H60" s="25"/>
      <c r="I60" s="25">
        <f t="shared" si="10"/>
        <v>0</v>
      </c>
      <c r="L60" s="142"/>
      <c r="M60" s="140"/>
    </row>
    <row r="61" spans="1:13" ht="17.25" customHeight="1" hidden="1" thickBot="1">
      <c r="A61" s="16" t="s">
        <v>22</v>
      </c>
      <c r="B61" s="23"/>
      <c r="C61" s="24"/>
      <c r="D61" s="25"/>
      <c r="E61" s="1" t="e">
        <f>D61/D59*100</f>
        <v>#DIV/0!</v>
      </c>
      <c r="F61" s="1"/>
      <c r="G61" s="1" t="e">
        <f t="shared" si="9"/>
        <v>#DIV/0!</v>
      </c>
      <c r="H61" s="25"/>
      <c r="I61" s="25">
        <f t="shared" si="10"/>
        <v>0</v>
      </c>
      <c r="L61" s="142"/>
      <c r="M61" s="140"/>
    </row>
    <row r="62" spans="1:13" ht="18" thickBot="1">
      <c r="A62" s="11" t="s">
        <v>8</v>
      </c>
      <c r="B62" s="33">
        <f>80352.9+42.6</f>
        <v>80395.5</v>
      </c>
      <c r="C62" s="27">
        <f>229822.3+625-100+42.6-624.9</f>
        <v>229765</v>
      </c>
      <c r="D62" s="28">
        <f>98+231.5+5390.5+706.5+0.2+14.1+26.8+0.7+7+746.1+1424.9+6599+2169.1-1.9-0.2+108.2+44.5+230.3+5.5+6+641.8+1953.8+5173.2+1.7+21.7+151.3+18.7+0.9+6.6+1007.2+359.5+4831.2+5094.3-146.6+109.4+146.5+7.9+34.4+15.6+2489.5+3888.3+300.1+20.9+56+188.3+12151.4+1.1+0.1+615.5+1914.1+880.8+444.6+4289.3+164.1+1.7+20.6+101.6+6533.2+2807.7+971.2+14.4</f>
        <v>75090.4</v>
      </c>
      <c r="E62" s="3">
        <f>D62/D102*100</f>
        <v>9.612565369960823</v>
      </c>
      <c r="F62" s="3">
        <f aca="true" t="shared" si="11" ref="F62:F67">D62/B62*100</f>
        <v>93.40124758226517</v>
      </c>
      <c r="G62" s="3">
        <f t="shared" si="9"/>
        <v>32.681391856897264</v>
      </c>
      <c r="H62" s="28">
        <f aca="true" t="shared" si="12" ref="H62:H67">B62-D62</f>
        <v>5305.100000000006</v>
      </c>
      <c r="I62" s="28">
        <f t="shared" si="10"/>
        <v>154674.6</v>
      </c>
      <c r="L62" s="148"/>
      <c r="M62" s="140"/>
    </row>
    <row r="63" spans="1:13" s="99" customFormat="1" ht="21.75" customHeight="1">
      <c r="A63" s="67" t="s">
        <v>3</v>
      </c>
      <c r="B63" s="83">
        <f>75715.8+59</f>
        <v>75774.8</v>
      </c>
      <c r="C63" s="84">
        <f>219447.1-15</f>
        <v>219432.1</v>
      </c>
      <c r="D63" s="69">
        <f>98+231.5+5381.9+595.6+26.8+745.2+1391.3+6558.1+2135.9-0.1+104.9+218.9+451.1+1945.1+5160.8+148.8+975.2+4818.1+5093.8-157.9+17.4+146.4+2481.3+3883.2+183+11968.9+615.5+1803.7+880.8+444.6+4289.3+1.7+6533.2+2807.7+971.2</f>
        <v>72950.9</v>
      </c>
      <c r="E63" s="70">
        <f>D63/D62*100</f>
        <v>97.15076760810969</v>
      </c>
      <c r="F63" s="70">
        <f t="shared" si="11"/>
        <v>96.27329930267054</v>
      </c>
      <c r="G63" s="70">
        <f t="shared" si="9"/>
        <v>33.2453182556244</v>
      </c>
      <c r="H63" s="69">
        <f t="shared" si="12"/>
        <v>2823.9000000000087</v>
      </c>
      <c r="I63" s="69">
        <f t="shared" si="10"/>
        <v>146481.2</v>
      </c>
      <c r="L63" s="146"/>
      <c r="M63" s="140"/>
    </row>
    <row r="64" spans="1:13" s="99" customFormat="1" ht="17.25">
      <c r="A64" s="67" t="s">
        <v>23</v>
      </c>
      <c r="B64" s="83">
        <v>20.5</v>
      </c>
      <c r="C64" s="84">
        <v>47.1</v>
      </c>
      <c r="D64" s="69">
        <f>3.8+2.5+0.1</f>
        <v>6.3999999999999995</v>
      </c>
      <c r="E64" s="70">
        <f>D64/D62*100</f>
        <v>0.008523060204766522</v>
      </c>
      <c r="F64" s="70">
        <f t="shared" si="11"/>
        <v>31.21951219512195</v>
      </c>
      <c r="G64" s="70">
        <f t="shared" si="9"/>
        <v>13.588110403397028</v>
      </c>
      <c r="H64" s="69">
        <f t="shared" si="12"/>
        <v>14.100000000000001</v>
      </c>
      <c r="I64" s="69">
        <f t="shared" si="10"/>
        <v>40.7</v>
      </c>
      <c r="L64" s="146"/>
      <c r="M64" s="140"/>
    </row>
    <row r="65" spans="1:13" s="99" customFormat="1" ht="18" thickBot="1">
      <c r="A65" s="67" t="s">
        <v>25</v>
      </c>
      <c r="B65" s="84">
        <f>B62-B63-B64</f>
        <v>4600.199999999997</v>
      </c>
      <c r="C65" s="84">
        <f>C62-C63-C64</f>
        <v>10285.799999999994</v>
      </c>
      <c r="D65" s="84">
        <f>D62-D63-D64</f>
        <v>2133.1</v>
      </c>
      <c r="E65" s="70">
        <f>D65/D62*100</f>
        <v>2.8407093316855416</v>
      </c>
      <c r="F65" s="70">
        <f t="shared" si="11"/>
        <v>46.36972305551935</v>
      </c>
      <c r="G65" s="70">
        <f>D65/C65*100</f>
        <v>20.73829940306054</v>
      </c>
      <c r="H65" s="69">
        <f t="shared" si="12"/>
        <v>2467.099999999997</v>
      </c>
      <c r="I65" s="69">
        <f>C65-D65</f>
        <v>8152.699999999993</v>
      </c>
      <c r="L65" s="150"/>
      <c r="M65" s="140"/>
    </row>
    <row r="66" spans="1:13" ht="17.25">
      <c r="A66" s="55" t="s">
        <v>10</v>
      </c>
      <c r="B66" s="63">
        <f>25835.3-400-182-360-38.5</f>
        <v>24854.8</v>
      </c>
      <c r="C66" s="58">
        <f>80487.9+25.4+645-1500</f>
        <v>79658.29999999999</v>
      </c>
      <c r="D66" s="57">
        <f>716.5+27.4+65.8+84.7+1037.7+51.5-0.1+2995.1+113.8+418.6+7.2+173.5+935.7+32.8+824+325.8+567.7+335.7+1562.2+467.8+760.9+369.6+81.6+49.8+198+1857.9-0.1+1246.3+80.1+31.6+1081.5+67.5+923.7+264.9+1127.4+13.3+707.5</f>
        <v>19604.9</v>
      </c>
      <c r="E66" s="54">
        <f>D66/D102*100</f>
        <v>2.5096867618436574</v>
      </c>
      <c r="F66" s="56">
        <f t="shared" si="11"/>
        <v>78.8777218082624</v>
      </c>
      <c r="G66" s="53">
        <f>D66/C66*100</f>
        <v>24.611245783553006</v>
      </c>
      <c r="H66" s="57">
        <f t="shared" si="12"/>
        <v>5249.899999999998</v>
      </c>
      <c r="I66" s="59">
        <f>C66-D66</f>
        <v>60053.39999999999</v>
      </c>
      <c r="L66" s="151"/>
      <c r="M66" s="140"/>
    </row>
    <row r="67" spans="1:13" s="99" customFormat="1" ht="18" thickBot="1">
      <c r="A67" s="86" t="s">
        <v>48</v>
      </c>
      <c r="B67" s="87">
        <f>6263.8-400</f>
        <v>5863.8</v>
      </c>
      <c r="C67" s="88">
        <v>17215.9</v>
      </c>
      <c r="D67" s="89">
        <f>2041+113.8+7.2+3.2+1562.2+101.7+1.9+172.5+1121.4+707.5</f>
        <v>5832.4</v>
      </c>
      <c r="E67" s="90">
        <f>D67/D66*100</f>
        <v>29.749705430785156</v>
      </c>
      <c r="F67" s="91">
        <f t="shared" si="11"/>
        <v>99.46451106790816</v>
      </c>
      <c r="G67" s="92">
        <f>D67/C67*100</f>
        <v>33.877984886064624</v>
      </c>
      <c r="H67" s="93">
        <f t="shared" si="12"/>
        <v>31.400000000000546</v>
      </c>
      <c r="I67" s="82">
        <f>C67-D67</f>
        <v>11383.500000000002</v>
      </c>
      <c r="L67" s="146"/>
      <c r="M67" s="140"/>
    </row>
    <row r="68" spans="1:13" ht="8.25" customHeight="1" thickBot="1">
      <c r="A68" s="12"/>
      <c r="B68" s="31"/>
      <c r="C68" s="37"/>
      <c r="D68" s="38"/>
      <c r="E68" s="6"/>
      <c r="F68" s="6"/>
      <c r="G68" s="6"/>
      <c r="H68" s="38"/>
      <c r="I68" s="38"/>
      <c r="L68" s="144"/>
      <c r="M68" s="140"/>
    </row>
    <row r="69" spans="1:13" s="21" customFormat="1" ht="18" thickBot="1">
      <c r="A69" s="11" t="s">
        <v>9</v>
      </c>
      <c r="B69" s="62">
        <f>26392.5-89.1+97.7-5232.6-14.1</f>
        <v>21154.4</v>
      </c>
      <c r="C69" s="47">
        <f>84151.7-230.2-23.5-82.7-89.1+49-7898-23.3-0.1</f>
        <v>75853.79999999999</v>
      </c>
      <c r="D69" s="43">
        <f>1415.4+152+14.6+199.1+12.7+1521.6+10.9-0.1+2429.1+107.6+10.9+34.3+0.1+772.2+142.3+34.7+1691.4+550.3+29.8+605.6+254.4+147.7+1752.4+97.2+263.4+24.6+0.1+12.3+330.4-41+1876.4+455.2+0.1+319.1+586.7+40.9+17.4+14.5+43.9+38+654.6+0.4</f>
        <v>16623.2</v>
      </c>
      <c r="E69" s="13">
        <f>D69/D102*100</f>
        <v>2.127989685205203</v>
      </c>
      <c r="F69" s="13">
        <f>D69/B69*100</f>
        <v>78.58034262375676</v>
      </c>
      <c r="G69" s="13">
        <f aca="true" t="shared" si="13" ref="G69:G101">D69/C69*100</f>
        <v>21.91478871196961</v>
      </c>
      <c r="H69" s="43">
        <f aca="true" t="shared" si="14" ref="H69:H101">B69-D69</f>
        <v>4531.200000000001</v>
      </c>
      <c r="I69" s="43">
        <f aca="true" t="shared" si="15" ref="I69:I101">C69-D69</f>
        <v>59230.59999999999</v>
      </c>
      <c r="L69" s="151"/>
      <c r="M69" s="140"/>
    </row>
    <row r="70" spans="1:13" s="99" customFormat="1" ht="18.75" customHeight="1">
      <c r="A70" s="67" t="s">
        <v>3</v>
      </c>
      <c r="B70" s="75">
        <v>116.9</v>
      </c>
      <c r="C70" s="76">
        <v>575</v>
      </c>
      <c r="D70" s="76">
        <f>17.8+21.5+34.3+10.5</f>
        <v>84.1</v>
      </c>
      <c r="E70" s="77">
        <f>D70/D69*100</f>
        <v>0.5059194378940275</v>
      </c>
      <c r="F70" s="70">
        <f>D70/B70*100</f>
        <v>71.94183062446534</v>
      </c>
      <c r="G70" s="77">
        <f>D70/C70*100</f>
        <v>14.626086956521739</v>
      </c>
      <c r="H70" s="76">
        <f t="shared" si="14"/>
        <v>32.80000000000001</v>
      </c>
      <c r="I70" s="76">
        <f t="shared" si="15"/>
        <v>490.9</v>
      </c>
      <c r="L70" s="146"/>
      <c r="M70" s="140"/>
    </row>
    <row r="71" spans="1:13" s="99" customFormat="1" ht="18.75" customHeight="1">
      <c r="A71" s="67" t="s">
        <v>1</v>
      </c>
      <c r="B71" s="68">
        <v>183.1</v>
      </c>
      <c r="C71" s="69">
        <v>183.1</v>
      </c>
      <c r="D71" s="69">
        <v>91.6</v>
      </c>
      <c r="E71" s="70"/>
      <c r="F71" s="70"/>
      <c r="G71" s="70"/>
      <c r="H71" s="69"/>
      <c r="I71" s="69"/>
      <c r="L71" s="146"/>
      <c r="M71" s="140"/>
    </row>
    <row r="72" spans="1:13" s="99" customFormat="1" ht="17.25">
      <c r="A72" s="78" t="s">
        <v>37</v>
      </c>
      <c r="B72" s="68">
        <f>24590.9-89.1+16-5232.6</f>
        <v>19285.200000000004</v>
      </c>
      <c r="C72" s="69">
        <f>76009.5-30.2-23.5-89.1+16-7898</f>
        <v>67984.7</v>
      </c>
      <c r="D72" s="69">
        <f>1415.4+152+14.6+199.1+12.7+1521.6+10.9-0.1+2429.1+107.6+772.2+142.3+4.3+1691.4+550.3+12.7+430.5+254.4+147.7+1752.4+77.9+6.5+1.2+263.4+330.4-41+1876.4+14+86.6+184.4-0.2+319.1+544.8+1.2+37.9+506.2</f>
        <v>15829.9</v>
      </c>
      <c r="E72" s="70">
        <f>D72/D69*100</f>
        <v>95.22775398238605</v>
      </c>
      <c r="F72" s="70">
        <f aca="true" t="shared" si="16" ref="F72:F101">D72/B72*100</f>
        <v>82.08315184701219</v>
      </c>
      <c r="G72" s="70">
        <f t="shared" si="13"/>
        <v>23.284503719219177</v>
      </c>
      <c r="H72" s="69">
        <f t="shared" si="14"/>
        <v>3455.3000000000047</v>
      </c>
      <c r="I72" s="69">
        <f t="shared" si="15"/>
        <v>52154.799999999996</v>
      </c>
      <c r="L72" s="146"/>
      <c r="M72" s="140"/>
    </row>
    <row r="73" spans="1:13" s="99" customFormat="1" ht="18" thickBot="1">
      <c r="A73" s="79" t="s">
        <v>25</v>
      </c>
      <c r="B73" s="80">
        <f>B69-B70-B72</f>
        <v>1752.2999999999956</v>
      </c>
      <c r="C73" s="80">
        <f>C69-C70-C72</f>
        <v>7294.099999999991</v>
      </c>
      <c r="D73" s="80">
        <f>D69-D70-D72-D71</f>
        <v>617.6000000000025</v>
      </c>
      <c r="E73" s="81">
        <f>D73/D69*100</f>
        <v>3.7152894749506866</v>
      </c>
      <c r="F73" s="81">
        <f t="shared" si="16"/>
        <v>35.24510643154734</v>
      </c>
      <c r="G73" s="81">
        <f t="shared" si="13"/>
        <v>8.467117259154703</v>
      </c>
      <c r="H73" s="124">
        <f t="shared" si="14"/>
        <v>1134.699999999993</v>
      </c>
      <c r="I73" s="82">
        <f t="shared" si="15"/>
        <v>6676.499999999989</v>
      </c>
      <c r="L73" s="146"/>
      <c r="M73" s="140"/>
    </row>
    <row r="74" spans="1:13" s="2" customFormat="1" ht="26.25" customHeight="1" thickBot="1">
      <c r="A74" s="44" t="s">
        <v>26</v>
      </c>
      <c r="B74" s="45">
        <f>SUM(B75:B100)-B80+B101-B93-B94-B76-B87-B91</f>
        <v>241759.99999999997</v>
      </c>
      <c r="C74" s="45">
        <f>SUM(C75:C100)-C80+C101-C93-C94-C76-C87-C91</f>
        <v>802357.7000000002</v>
      </c>
      <c r="D74" s="45">
        <f>SUM(D75:D100)-D80+D101-D93-D94-D76-D87-D91</f>
        <v>212425.19999999995</v>
      </c>
      <c r="E74" s="46">
        <f>D74/D102*100</f>
        <v>27.193238033450374</v>
      </c>
      <c r="F74" s="46">
        <f>D74/B74*100</f>
        <v>87.86614824619457</v>
      </c>
      <c r="G74" s="46">
        <f t="shared" si="13"/>
        <v>26.475124498711722</v>
      </c>
      <c r="H74" s="45">
        <f t="shared" si="14"/>
        <v>29334.800000000017</v>
      </c>
      <c r="I74" s="45">
        <f>C74-D74</f>
        <v>589932.5000000002</v>
      </c>
      <c r="L74" s="147"/>
      <c r="M74" s="140"/>
    </row>
    <row r="75" spans="1:13" s="130" customFormat="1" ht="34.5">
      <c r="A75" s="127" t="s">
        <v>39</v>
      </c>
      <c r="B75" s="128">
        <v>5158.1</v>
      </c>
      <c r="C75" s="129">
        <v>12699.4</v>
      </c>
      <c r="D75" s="125">
        <f>57.1+0.2+18.8+4.9+66+699+37.3+18-0.1+487.3+7.9+1009.5</f>
        <v>2405.9</v>
      </c>
      <c r="E75" s="120">
        <f>D75/D74*100</f>
        <v>1.1325869058849893</v>
      </c>
      <c r="F75" s="120">
        <f t="shared" si="16"/>
        <v>46.64314379325721</v>
      </c>
      <c r="G75" s="120">
        <f t="shared" si="13"/>
        <v>18.944989527064273</v>
      </c>
      <c r="H75" s="121">
        <f t="shared" si="14"/>
        <v>2752.2000000000003</v>
      </c>
      <c r="I75" s="121">
        <f t="shared" si="15"/>
        <v>10293.5</v>
      </c>
      <c r="L75" s="152"/>
      <c r="M75" s="140"/>
    </row>
    <row r="76" spans="1:13" s="130" customFormat="1" ht="17.25">
      <c r="A76" s="131" t="s">
        <v>23</v>
      </c>
      <c r="B76" s="132">
        <v>3273</v>
      </c>
      <c r="C76" s="133">
        <v>7278</v>
      </c>
      <c r="D76" s="126">
        <f>57.1+0.2+33.1+23.1+29.2+5.4+1009.5</f>
        <v>1157.6</v>
      </c>
      <c r="E76" s="134">
        <f>D76/D75*100</f>
        <v>48.11505050085207</v>
      </c>
      <c r="F76" s="134">
        <f t="shared" si="16"/>
        <v>35.36816376413077</v>
      </c>
      <c r="G76" s="134">
        <f t="shared" si="13"/>
        <v>15.905468535311899</v>
      </c>
      <c r="H76" s="133">
        <f t="shared" si="14"/>
        <v>2115.4</v>
      </c>
      <c r="I76" s="133">
        <f t="shared" si="15"/>
        <v>6120.4</v>
      </c>
      <c r="L76" s="146"/>
      <c r="M76" s="140"/>
    </row>
    <row r="77" spans="1:13" s="130" customFormat="1" ht="21" customHeight="1">
      <c r="A77" s="116" t="s">
        <v>51</v>
      </c>
      <c r="B77" s="111">
        <v>148</v>
      </c>
      <c r="C77" s="121">
        <v>185</v>
      </c>
      <c r="D77" s="125"/>
      <c r="E77" s="120">
        <f>D77/D74*100</f>
        <v>0</v>
      </c>
      <c r="F77" s="120">
        <f t="shared" si="16"/>
        <v>0</v>
      </c>
      <c r="G77" s="120">
        <f t="shared" si="13"/>
        <v>0</v>
      </c>
      <c r="H77" s="121">
        <f t="shared" si="14"/>
        <v>148</v>
      </c>
      <c r="I77" s="121">
        <f t="shared" si="15"/>
        <v>185</v>
      </c>
      <c r="L77" s="152"/>
      <c r="M77" s="140"/>
    </row>
    <row r="78" spans="1:13" s="130" customFormat="1" ht="34.5">
      <c r="A78" s="116" t="s">
        <v>33</v>
      </c>
      <c r="B78" s="111">
        <f>2079.9-50.7</f>
        <v>2029.2</v>
      </c>
      <c r="C78" s="121">
        <f>5643.3-147.9-0.1</f>
        <v>5495.3</v>
      </c>
      <c r="D78" s="125">
        <f>382.9+7.8+430.8+6.8+0.8+32+402.7+20.9+381.6+14.7+3</f>
        <v>1684.0000000000002</v>
      </c>
      <c r="E78" s="120">
        <f>D78/D74*100</f>
        <v>0.7927496361072042</v>
      </c>
      <c r="F78" s="120">
        <f t="shared" si="16"/>
        <v>82.98836980090677</v>
      </c>
      <c r="G78" s="120">
        <f t="shared" si="13"/>
        <v>30.644368824268014</v>
      </c>
      <c r="H78" s="121">
        <f t="shared" si="14"/>
        <v>345.1999999999998</v>
      </c>
      <c r="I78" s="121">
        <f t="shared" si="15"/>
        <v>3811.3</v>
      </c>
      <c r="L78" s="152"/>
      <c r="M78" s="140"/>
    </row>
    <row r="79" spans="1:13" s="122" customFormat="1" ht="17.25">
      <c r="A79" s="116" t="s">
        <v>13</v>
      </c>
      <c r="B79" s="111">
        <f>539.1-105</f>
        <v>434.1</v>
      </c>
      <c r="C79" s="117">
        <f>955.7-110</f>
        <v>845.7</v>
      </c>
      <c r="D79" s="125">
        <f>56.9+80.5+0.3+80.5+0.3+1.7+0.1+80.5+0.3</f>
        <v>301.1</v>
      </c>
      <c r="E79" s="120">
        <f>D79/D74*100</f>
        <v>0.14174401153912064</v>
      </c>
      <c r="F79" s="120">
        <f t="shared" si="16"/>
        <v>69.36189818014282</v>
      </c>
      <c r="G79" s="120">
        <f t="shared" si="13"/>
        <v>35.603641953411376</v>
      </c>
      <c r="H79" s="121">
        <f t="shared" si="14"/>
        <v>133</v>
      </c>
      <c r="I79" s="121">
        <f t="shared" si="15"/>
        <v>544.6</v>
      </c>
      <c r="L79" s="152"/>
      <c r="M79" s="140"/>
    </row>
    <row r="80" spans="1:13" s="136" customFormat="1" ht="17.25">
      <c r="A80" s="135" t="s">
        <v>36</v>
      </c>
      <c r="B80" s="132">
        <f>322.1-66-14.5</f>
        <v>241.60000000000002</v>
      </c>
      <c r="C80" s="133">
        <f>724.7-66-14.5</f>
        <v>644.2</v>
      </c>
      <c r="D80" s="126">
        <f>80.5+80.5+80.5</f>
        <v>241.5</v>
      </c>
      <c r="E80" s="134">
        <f>D80/D79*100</f>
        <v>80.20591165725672</v>
      </c>
      <c r="F80" s="134">
        <f t="shared" si="16"/>
        <v>99.95860927152317</v>
      </c>
      <c r="G80" s="134">
        <f t="shared" si="13"/>
        <v>37.48835765290282</v>
      </c>
      <c r="H80" s="133">
        <f t="shared" si="14"/>
        <v>0.10000000000002274</v>
      </c>
      <c r="I80" s="133">
        <f t="shared" si="15"/>
        <v>402.70000000000005</v>
      </c>
      <c r="L80" s="146"/>
      <c r="M80" s="140"/>
    </row>
    <row r="81" spans="1:13" s="122" customFormat="1" ht="17.25">
      <c r="A81" s="116" t="s">
        <v>61</v>
      </c>
      <c r="B81" s="111">
        <v>20</v>
      </c>
      <c r="C81" s="117">
        <v>160</v>
      </c>
      <c r="D81" s="125">
        <v>16.5</v>
      </c>
      <c r="E81" s="120">
        <f>D81/D74*100</f>
        <v>0.00776744002124042</v>
      </c>
      <c r="F81" s="120">
        <f t="shared" si="16"/>
        <v>82.5</v>
      </c>
      <c r="G81" s="120">
        <f t="shared" si="13"/>
        <v>10.3125</v>
      </c>
      <c r="H81" s="121">
        <f t="shared" si="14"/>
        <v>3.5</v>
      </c>
      <c r="I81" s="121">
        <f t="shared" si="15"/>
        <v>143.5</v>
      </c>
      <c r="L81" s="152"/>
      <c r="M81" s="140"/>
    </row>
    <row r="82" spans="1:13" s="122" customFormat="1" ht="21.75" customHeight="1">
      <c r="A82" s="116" t="s">
        <v>53</v>
      </c>
      <c r="B82" s="111">
        <v>1640.6</v>
      </c>
      <c r="C82" s="117">
        <f>746.2-353.9+2000-600</f>
        <v>1792.3000000000002</v>
      </c>
      <c r="D82" s="118">
        <f>15.6+108+1200</f>
        <v>1323.6</v>
      </c>
      <c r="E82" s="119">
        <f>D82/D74*100</f>
        <v>0.623089915885686</v>
      </c>
      <c r="F82" s="120">
        <f t="shared" si="16"/>
        <v>80.67780080458368</v>
      </c>
      <c r="G82" s="120">
        <f t="shared" si="13"/>
        <v>73.84924398817161</v>
      </c>
      <c r="H82" s="121">
        <f t="shared" si="14"/>
        <v>317</v>
      </c>
      <c r="I82" s="121">
        <f t="shared" si="15"/>
        <v>468.7000000000003</v>
      </c>
      <c r="K82" s="123"/>
      <c r="L82" s="152"/>
      <c r="M82" s="140"/>
    </row>
    <row r="83" spans="1:13" s="122" customFormat="1" ht="34.5">
      <c r="A83" s="116" t="s">
        <v>54</v>
      </c>
      <c r="B83" s="111">
        <f>8698.8-700+660-1083.5+6316.1</f>
        <v>13891.4</v>
      </c>
      <c r="C83" s="117">
        <f>24018.8-150-3088+10986</f>
        <v>31766.8</v>
      </c>
      <c r="D83" s="118">
        <f>584.7+2437.8+1510.7+1712.5+325.1-0.1+334.2+670.2+6079.8</f>
        <v>13654.9</v>
      </c>
      <c r="E83" s="119">
        <f>D83/D74*100</f>
        <v>6.428097984608231</v>
      </c>
      <c r="F83" s="120">
        <f t="shared" si="16"/>
        <v>98.29750781058785</v>
      </c>
      <c r="G83" s="120">
        <f t="shared" si="13"/>
        <v>42.9848143344624</v>
      </c>
      <c r="H83" s="121">
        <f t="shared" si="14"/>
        <v>236.5</v>
      </c>
      <c r="I83" s="121">
        <f t="shared" si="15"/>
        <v>18111.9</v>
      </c>
      <c r="L83" s="152"/>
      <c r="M83" s="140"/>
    </row>
    <row r="84" spans="1:13" s="122" customFormat="1" ht="17.25">
      <c r="A84" s="116" t="s">
        <v>52</v>
      </c>
      <c r="B84" s="111">
        <v>210</v>
      </c>
      <c r="C84" s="117">
        <v>210</v>
      </c>
      <c r="D84" s="118"/>
      <c r="E84" s="119">
        <f>D84/D74*100</f>
        <v>0</v>
      </c>
      <c r="F84" s="120">
        <f t="shared" si="16"/>
        <v>0</v>
      </c>
      <c r="G84" s="120">
        <f t="shared" si="13"/>
        <v>0</v>
      </c>
      <c r="H84" s="121">
        <f t="shared" si="14"/>
        <v>210</v>
      </c>
      <c r="I84" s="121">
        <f t="shared" si="15"/>
        <v>210</v>
      </c>
      <c r="L84" s="152"/>
      <c r="M84" s="140"/>
    </row>
    <row r="85" spans="1:13" s="122" customFormat="1" ht="34.5">
      <c r="A85" s="116" t="s">
        <v>59</v>
      </c>
      <c r="B85" s="111">
        <v>150</v>
      </c>
      <c r="C85" s="117">
        <v>512</v>
      </c>
      <c r="D85" s="118"/>
      <c r="E85" s="119">
        <f>D85/D74*100</f>
        <v>0</v>
      </c>
      <c r="F85" s="120">
        <f t="shared" si="16"/>
        <v>0</v>
      </c>
      <c r="G85" s="120">
        <f t="shared" si="13"/>
        <v>0</v>
      </c>
      <c r="H85" s="121">
        <f t="shared" si="14"/>
        <v>150</v>
      </c>
      <c r="I85" s="121">
        <f t="shared" si="15"/>
        <v>512</v>
      </c>
      <c r="L85" s="152"/>
      <c r="M85" s="140"/>
    </row>
    <row r="86" spans="1:13" s="122" customFormat="1" ht="34.5">
      <c r="A86" s="116" t="s">
        <v>44</v>
      </c>
      <c r="B86" s="111">
        <v>454</v>
      </c>
      <c r="C86" s="117">
        <v>1064.2</v>
      </c>
      <c r="D86" s="118">
        <f>8.5+0.7+8.4+0.8+0.2+27.9-0.3+8.4</f>
        <v>54.6</v>
      </c>
      <c r="E86" s="119">
        <f>D86/D74*100</f>
        <v>0.02570316516119557</v>
      </c>
      <c r="F86" s="120">
        <f t="shared" si="16"/>
        <v>12.026431718061675</v>
      </c>
      <c r="G86" s="120">
        <f t="shared" si="13"/>
        <v>5.130614546137944</v>
      </c>
      <c r="H86" s="121">
        <f t="shared" si="14"/>
        <v>399.4</v>
      </c>
      <c r="I86" s="121">
        <f t="shared" si="15"/>
        <v>1009.6</v>
      </c>
      <c r="J86" s="123"/>
      <c r="L86" s="152"/>
      <c r="M86" s="140"/>
    </row>
    <row r="87" spans="1:13" s="136" customFormat="1" ht="17.25">
      <c r="A87" s="131" t="s">
        <v>50</v>
      </c>
      <c r="B87" s="132">
        <v>33.6</v>
      </c>
      <c r="C87" s="133">
        <v>546.7</v>
      </c>
      <c r="D87" s="126">
        <f>8.4+8.4+8.4+8.4</f>
        <v>33.6</v>
      </c>
      <c r="E87" s="134">
        <f>D87/D86*100</f>
        <v>61.53846153846154</v>
      </c>
      <c r="F87" s="134">
        <f>D87/B87*100</f>
        <v>100</v>
      </c>
      <c r="G87" s="134">
        <f t="shared" si="13"/>
        <v>6.1459667093469905</v>
      </c>
      <c r="H87" s="133">
        <f t="shared" si="14"/>
        <v>0</v>
      </c>
      <c r="I87" s="133">
        <f t="shared" si="15"/>
        <v>513.1</v>
      </c>
      <c r="J87" s="137"/>
      <c r="L87" s="146"/>
      <c r="M87" s="140"/>
    </row>
    <row r="88" spans="1:13" s="122" customFormat="1" ht="34.5">
      <c r="A88" s="116" t="s">
        <v>60</v>
      </c>
      <c r="B88" s="111">
        <v>20</v>
      </c>
      <c r="C88" s="117">
        <v>290</v>
      </c>
      <c r="D88" s="118">
        <f>3+10</f>
        <v>13</v>
      </c>
      <c r="E88" s="119">
        <f>D88/D74*100</f>
        <v>0.006119801228856088</v>
      </c>
      <c r="F88" s="120">
        <f t="shared" si="16"/>
        <v>65</v>
      </c>
      <c r="G88" s="120">
        <f t="shared" si="13"/>
        <v>4.482758620689655</v>
      </c>
      <c r="H88" s="121">
        <f t="shared" si="14"/>
        <v>7</v>
      </c>
      <c r="I88" s="121">
        <f t="shared" si="15"/>
        <v>277</v>
      </c>
      <c r="L88" s="152"/>
      <c r="M88" s="140"/>
    </row>
    <row r="89" spans="1:13" s="122" customFormat="1" ht="35.25" customHeight="1">
      <c r="A89" s="116" t="s">
        <v>49</v>
      </c>
      <c r="B89" s="111">
        <f>497.5-170-200</f>
        <v>127.5</v>
      </c>
      <c r="C89" s="117">
        <v>3142.4</v>
      </c>
      <c r="D89" s="118">
        <f>44.5+2+53.7+5.7+7.4-0.1+10.9</f>
        <v>124.10000000000002</v>
      </c>
      <c r="E89" s="119">
        <f>D89/D74*100</f>
        <v>0.05842056403854159</v>
      </c>
      <c r="F89" s="120">
        <f t="shared" si="16"/>
        <v>97.33333333333334</v>
      </c>
      <c r="G89" s="120">
        <f t="shared" si="13"/>
        <v>3.949210794297353</v>
      </c>
      <c r="H89" s="121">
        <f t="shared" si="14"/>
        <v>3.3999999999999773</v>
      </c>
      <c r="I89" s="121">
        <f t="shared" si="15"/>
        <v>3018.3</v>
      </c>
      <c r="L89" s="152"/>
      <c r="M89" s="140"/>
    </row>
    <row r="90" spans="1:13" s="122" customFormat="1" ht="39" customHeight="1">
      <c r="A90" s="116" t="s">
        <v>41</v>
      </c>
      <c r="B90" s="111">
        <v>46</v>
      </c>
      <c r="C90" s="117">
        <v>285.8</v>
      </c>
      <c r="D90" s="118"/>
      <c r="E90" s="119">
        <f>D90/D74*100</f>
        <v>0</v>
      </c>
      <c r="F90" s="120">
        <f t="shared" si="16"/>
        <v>0</v>
      </c>
      <c r="G90" s="120">
        <f t="shared" si="13"/>
        <v>0</v>
      </c>
      <c r="H90" s="121">
        <f t="shared" si="14"/>
        <v>46</v>
      </c>
      <c r="I90" s="121">
        <f t="shared" si="15"/>
        <v>285.8</v>
      </c>
      <c r="L90" s="152"/>
      <c r="M90" s="140"/>
    </row>
    <row r="91" spans="1:13" s="136" customFormat="1" ht="17.25">
      <c r="A91" s="131" t="s">
        <v>50</v>
      </c>
      <c r="B91" s="132">
        <v>11.8</v>
      </c>
      <c r="C91" s="133">
        <f>105.8-4.2</f>
        <v>101.6</v>
      </c>
      <c r="D91" s="126"/>
      <c r="E91" s="134"/>
      <c r="F91" s="120">
        <f>D91/B91*100</f>
        <v>0</v>
      </c>
      <c r="G91" s="134">
        <f>D91/C91*100</f>
        <v>0</v>
      </c>
      <c r="H91" s="133">
        <f>B91-D91</f>
        <v>11.8</v>
      </c>
      <c r="I91" s="133">
        <f>C91-D91</f>
        <v>101.6</v>
      </c>
      <c r="L91" s="146"/>
      <c r="M91" s="140"/>
    </row>
    <row r="92" spans="1:13" s="122" customFormat="1" ht="17.25">
      <c r="A92" s="116" t="s">
        <v>55</v>
      </c>
      <c r="B92" s="111">
        <v>908.6</v>
      </c>
      <c r="C92" s="117">
        <v>2722.3</v>
      </c>
      <c r="D92" s="118">
        <f>64.7+107.5-0.1+68.7+156.3+82.6+141.8+0.1+66.3+0.4+124.9+4.8+0.1</f>
        <v>818.0999999999999</v>
      </c>
      <c r="E92" s="119">
        <f>D92/D74*100</f>
        <v>0.38512379887132037</v>
      </c>
      <c r="F92" s="120">
        <f t="shared" si="16"/>
        <v>90.03962139555358</v>
      </c>
      <c r="G92" s="120">
        <f t="shared" si="13"/>
        <v>30.05179443852624</v>
      </c>
      <c r="H92" s="121">
        <f t="shared" si="14"/>
        <v>90.50000000000011</v>
      </c>
      <c r="I92" s="121">
        <f t="shared" si="15"/>
        <v>1904.2000000000003</v>
      </c>
      <c r="L92" s="152"/>
      <c r="M92" s="140"/>
    </row>
    <row r="93" spans="1:13" s="136" customFormat="1" ht="17.25">
      <c r="A93" s="135" t="s">
        <v>36</v>
      </c>
      <c r="B93" s="132">
        <v>702.4</v>
      </c>
      <c r="C93" s="133">
        <v>2275.5</v>
      </c>
      <c r="D93" s="126">
        <f>64.7+104.7+68.3+99.2+69.4+91.7+66.3+124.9</f>
        <v>689.1999999999999</v>
      </c>
      <c r="E93" s="134">
        <f>D93/D92*100</f>
        <v>84.2439799535509</v>
      </c>
      <c r="F93" s="134">
        <f t="shared" si="16"/>
        <v>98.12072892938495</v>
      </c>
      <c r="G93" s="134">
        <f t="shared" si="13"/>
        <v>30.28784882443419</v>
      </c>
      <c r="H93" s="133">
        <f t="shared" si="14"/>
        <v>13.200000000000045</v>
      </c>
      <c r="I93" s="133">
        <f t="shared" si="15"/>
        <v>1586.3000000000002</v>
      </c>
      <c r="L93" s="146"/>
      <c r="M93" s="140"/>
    </row>
    <row r="94" spans="1:13" s="136" customFormat="1" ht="17.25">
      <c r="A94" s="131" t="s">
        <v>23</v>
      </c>
      <c r="B94" s="132">
        <v>28</v>
      </c>
      <c r="C94" s="133">
        <v>50.7</v>
      </c>
      <c r="D94" s="126">
        <f>0.4+6.9+6.2+0.4+4.8</f>
        <v>18.7</v>
      </c>
      <c r="E94" s="134">
        <f>D94/D92*100</f>
        <v>2.285784133968953</v>
      </c>
      <c r="F94" s="134">
        <f t="shared" si="16"/>
        <v>66.78571428571428</v>
      </c>
      <c r="G94" s="134">
        <f>D94/C94*100</f>
        <v>36.883629191321496</v>
      </c>
      <c r="H94" s="133">
        <f t="shared" si="14"/>
        <v>9.3</v>
      </c>
      <c r="I94" s="133">
        <f t="shared" si="15"/>
        <v>32</v>
      </c>
      <c r="L94" s="146"/>
      <c r="M94" s="140"/>
    </row>
    <row r="95" spans="1:13" s="122" customFormat="1" ht="17.25">
      <c r="A95" s="138" t="s">
        <v>43</v>
      </c>
      <c r="B95" s="111">
        <v>396.6</v>
      </c>
      <c r="C95" s="117">
        <f>90+1220.1</f>
        <v>1310.1</v>
      </c>
      <c r="D95" s="118">
        <v>74.2</v>
      </c>
      <c r="E95" s="119">
        <f>D95/D74*100</f>
        <v>0.034929942398547825</v>
      </c>
      <c r="F95" s="120">
        <f t="shared" si="16"/>
        <v>18.709026727181037</v>
      </c>
      <c r="G95" s="120">
        <f t="shared" si="13"/>
        <v>5.663689794672163</v>
      </c>
      <c r="H95" s="121">
        <f t="shared" si="14"/>
        <v>322.40000000000003</v>
      </c>
      <c r="I95" s="121">
        <f t="shared" si="15"/>
        <v>1235.8999999999999</v>
      </c>
      <c r="L95" s="152"/>
      <c r="M95" s="140"/>
    </row>
    <row r="96" spans="1:13" s="122" customFormat="1" ht="19.5" customHeight="1">
      <c r="A96" s="138" t="s">
        <v>56</v>
      </c>
      <c r="B96" s="111">
        <f>38340.2-830-3670</f>
        <v>33840.2</v>
      </c>
      <c r="C96" s="117">
        <f>168581.5-10000-4580-3376.2-15000-10000</f>
        <v>125625.29999999999</v>
      </c>
      <c r="D96" s="118">
        <f>6997.5+1133.9+137.1+594.7+550.6+1773.8+919.2+199.4+1671.6+63.9+1148.1+73.7+2431.8+1313.5+1861.3+108.9+77.7+1359.6+741.7-0.1+2208.3+1406.8+387.5+116.7+1683</f>
        <v>28960.200000000004</v>
      </c>
      <c r="E96" s="119">
        <f>D96/D74*100</f>
        <v>13.633128272916778</v>
      </c>
      <c r="F96" s="120">
        <f t="shared" si="16"/>
        <v>85.57928144632717</v>
      </c>
      <c r="G96" s="120">
        <f t="shared" si="13"/>
        <v>23.05284047082873</v>
      </c>
      <c r="H96" s="121">
        <f t="shared" si="14"/>
        <v>4879.999999999993</v>
      </c>
      <c r="I96" s="121">
        <f t="shared" si="15"/>
        <v>96665.09999999998</v>
      </c>
      <c r="L96" s="152"/>
      <c r="M96" s="140"/>
    </row>
    <row r="97" spans="1:13" s="122" customFormat="1" ht="17.25">
      <c r="A97" s="138" t="s">
        <v>64</v>
      </c>
      <c r="B97" s="111">
        <v>3.6</v>
      </c>
      <c r="C97" s="117">
        <v>10.8</v>
      </c>
      <c r="D97" s="118"/>
      <c r="E97" s="119">
        <f>D97/D76*100</f>
        <v>0</v>
      </c>
      <c r="F97" s="120">
        <f>D97/B97*100</f>
        <v>0</v>
      </c>
      <c r="G97" s="120">
        <f>D97/C97*100</f>
        <v>0</v>
      </c>
      <c r="H97" s="121">
        <f>B97-D97</f>
        <v>3.6</v>
      </c>
      <c r="I97" s="121">
        <f>C97-D97</f>
        <v>10.8</v>
      </c>
      <c r="L97" s="152"/>
      <c r="M97" s="140"/>
    </row>
    <row r="98" spans="1:13" s="122" customFormat="1" ht="17.25">
      <c r="A98" s="116" t="s">
        <v>57</v>
      </c>
      <c r="B98" s="111">
        <v>12.8</v>
      </c>
      <c r="C98" s="117">
        <v>25.7</v>
      </c>
      <c r="D98" s="118">
        <v>12.8</v>
      </c>
      <c r="E98" s="119">
        <f>D98/D74*100</f>
        <v>0.006025650440719841</v>
      </c>
      <c r="F98" s="120">
        <f t="shared" si="16"/>
        <v>100</v>
      </c>
      <c r="G98" s="120">
        <f t="shared" si="13"/>
        <v>49.80544747081713</v>
      </c>
      <c r="H98" s="121">
        <f t="shared" si="14"/>
        <v>0</v>
      </c>
      <c r="I98" s="121">
        <f t="shared" si="15"/>
        <v>12.899999999999999</v>
      </c>
      <c r="L98" s="152"/>
      <c r="M98" s="140"/>
    </row>
    <row r="99" spans="1:13" s="122" customFormat="1" ht="18" customHeight="1">
      <c r="A99" s="116" t="s">
        <v>45</v>
      </c>
      <c r="B99" s="111">
        <v>4083.1</v>
      </c>
      <c r="C99" s="117">
        <f>14201.7-25.4</f>
        <v>14176.300000000001</v>
      </c>
      <c r="D99" s="118">
        <f>910.2+853.3+854.1-0.1+1465.6</f>
        <v>4083.1</v>
      </c>
      <c r="E99" s="119">
        <f>D99/D74*100</f>
        <v>1.922135415195561</v>
      </c>
      <c r="F99" s="120">
        <f t="shared" si="16"/>
        <v>100</v>
      </c>
      <c r="G99" s="120">
        <f t="shared" si="13"/>
        <v>28.80229679112321</v>
      </c>
      <c r="H99" s="121">
        <f t="shared" si="14"/>
        <v>0</v>
      </c>
      <c r="I99" s="121">
        <f t="shared" si="15"/>
        <v>10093.2</v>
      </c>
      <c r="L99" s="152"/>
      <c r="M99" s="140"/>
    </row>
    <row r="100" spans="1:13" s="74" customFormat="1" ht="19.5" customHeight="1">
      <c r="A100" s="107" t="s">
        <v>38</v>
      </c>
      <c r="B100" s="108">
        <f>143087.4+1400+4752-261.5+1871.8-2956.9+119.4</f>
        <v>148012.19999999998</v>
      </c>
      <c r="C100" s="71">
        <f>465220.7+19175+23352.9+15781.2+6640.1+600-21253</f>
        <v>509516.9</v>
      </c>
      <c r="D100" s="118">
        <f>14210.4+2704.7+2762.2+1122.4+20692.6+11466.4+2400+577.2+1951.5+1880.7+1018+1648.9+3985.4+1192.9+2200+220.2+4700.4+20967.5-11.9+10686.6+16856+698.2+4794.8</f>
        <v>128725.09999999999</v>
      </c>
      <c r="E100" s="73">
        <f>D100/D74*100</f>
        <v>60.59784808958637</v>
      </c>
      <c r="F100" s="65">
        <f t="shared" si="16"/>
        <v>86.96924983210845</v>
      </c>
      <c r="G100" s="65">
        <f t="shared" si="13"/>
        <v>25.264147273623305</v>
      </c>
      <c r="H100" s="66">
        <f t="shared" si="14"/>
        <v>19287.09999999999</v>
      </c>
      <c r="I100" s="66">
        <f>C100-D100</f>
        <v>380791.80000000005</v>
      </c>
      <c r="L100" s="152"/>
      <c r="M100" s="140"/>
    </row>
    <row r="101" spans="1:13" s="74" customFormat="1" ht="18" thickBot="1">
      <c r="A101" s="107" t="s">
        <v>58</v>
      </c>
      <c r="B101" s="108">
        <v>30174</v>
      </c>
      <c r="C101" s="71">
        <v>90521.4</v>
      </c>
      <c r="D101" s="72">
        <f>2514.5+2514.5+2514.5+2514.5+2514.5+2514.5+2514.5+2514.5+2514.5+2514.5+2514.5+2514.5</f>
        <v>30174</v>
      </c>
      <c r="E101" s="73">
        <f>D101/D74*100</f>
        <v>14.204529406115663</v>
      </c>
      <c r="F101" s="65">
        <f t="shared" si="16"/>
        <v>100</v>
      </c>
      <c r="G101" s="65">
        <f t="shared" si="13"/>
        <v>33.33355427556357</v>
      </c>
      <c r="H101" s="66">
        <f t="shared" si="14"/>
        <v>0</v>
      </c>
      <c r="I101" s="66">
        <f t="shared" si="15"/>
        <v>60347.399999999994</v>
      </c>
      <c r="L101" s="152"/>
      <c r="M101" s="140"/>
    </row>
    <row r="102" spans="1:9" ht="18" thickBot="1">
      <c r="A102" s="11" t="s">
        <v>16</v>
      </c>
      <c r="B102" s="28">
        <f>B6+B14+B18+B24+B32+B39+B45+B49+B51+B59+B62+B66+B69+B74+B56+B26</f>
        <v>889005.9</v>
      </c>
      <c r="C102" s="28">
        <f>C6+C14+C18+C24+C32+C39+C45+C49+C51+C59+C62+C66+C69+C74+C56+C26</f>
        <v>2725972.2000000007</v>
      </c>
      <c r="D102" s="28">
        <f>D6+D14+D18+D24+D32+D39+D45+D49+D51+D59+D62+D66+D69+D74+D56+D26</f>
        <v>781169.1999999998</v>
      </c>
      <c r="E102" s="18">
        <v>100</v>
      </c>
      <c r="F102" s="3">
        <f>D102/B102*100</f>
        <v>87.86996801708513</v>
      </c>
      <c r="G102" s="3">
        <f aca="true" t="shared" si="17" ref="G102:G108">D102/C102*100</f>
        <v>28.656535822338896</v>
      </c>
      <c r="H102" s="28">
        <f aca="true" t="shared" si="18" ref="H102:H108">B102-D102</f>
        <v>107836.70000000019</v>
      </c>
      <c r="I102" s="28">
        <f aca="true" t="shared" si="19" ref="I102:I108">C102-D102</f>
        <v>1944803.000000001</v>
      </c>
    </row>
    <row r="103" spans="1:9" ht="17.25">
      <c r="A103" s="12" t="s">
        <v>5</v>
      </c>
      <c r="B103" s="37">
        <f>B8+B19+B33+B40+B63+B80+B27+B93+B70</f>
        <v>372432</v>
      </c>
      <c r="C103" s="37">
        <f>C8+C19+C33+C40+C63+C80+C27+C93+C70</f>
        <v>1150124.9</v>
      </c>
      <c r="D103" s="37">
        <f>D8+D19+D33+D40+D63+D80+D27+D93+D70</f>
        <v>352128.1999999999</v>
      </c>
      <c r="E103" s="6">
        <f>D103/D102*100</f>
        <v>45.07707165105844</v>
      </c>
      <c r="F103" s="6">
        <f aca="true" t="shared" si="20" ref="F103:F108">D103/B103*100</f>
        <v>94.5483202302702</v>
      </c>
      <c r="G103" s="6">
        <f t="shared" si="17"/>
        <v>30.616518258147433</v>
      </c>
      <c r="H103" s="38">
        <f t="shared" si="18"/>
        <v>20303.800000000105</v>
      </c>
      <c r="I103" s="41">
        <f t="shared" si="19"/>
        <v>797996.7</v>
      </c>
    </row>
    <row r="104" spans="1:9" ht="17.25">
      <c r="A104" s="12" t="s">
        <v>0</v>
      </c>
      <c r="B104" s="66">
        <f>B11+B20+B36+B42+B64+B30+B94+B76+B67</f>
        <v>41376.700000000004</v>
      </c>
      <c r="C104" s="66">
        <f>C11+C20+C36+C42+C64+C30+C94+C76+C67</f>
        <v>116533.5</v>
      </c>
      <c r="D104" s="66">
        <f>D11+D20+D36+D42+D64+D30+D94+D76+D67</f>
        <v>32112.6</v>
      </c>
      <c r="E104" s="6">
        <f>D104/D102*100</f>
        <v>4.110837959305104</v>
      </c>
      <c r="F104" s="6">
        <f t="shared" si="20"/>
        <v>77.61034591932173</v>
      </c>
      <c r="G104" s="6">
        <f t="shared" si="17"/>
        <v>27.556539535841623</v>
      </c>
      <c r="H104" s="38">
        <f t="shared" si="18"/>
        <v>9264.100000000006</v>
      </c>
      <c r="I104" s="41">
        <f t="shared" si="19"/>
        <v>84420.9</v>
      </c>
    </row>
    <row r="105" spans="1:9" ht="17.25">
      <c r="A105" s="12" t="s">
        <v>1</v>
      </c>
      <c r="B105" s="104">
        <f>B10+B35+B29+B41+B71</f>
        <v>19357.699999999997</v>
      </c>
      <c r="C105" s="104">
        <f>C10+C35+C29+C41+C71</f>
        <v>52033.6</v>
      </c>
      <c r="D105" s="104">
        <f>D10+D35+D29+D41+D71</f>
        <v>9699.4</v>
      </c>
      <c r="E105" s="6">
        <f>D105/D102*100</f>
        <v>1.2416516165767932</v>
      </c>
      <c r="F105" s="6">
        <f t="shared" si="20"/>
        <v>50.10615930611591</v>
      </c>
      <c r="G105" s="6">
        <f t="shared" si="17"/>
        <v>18.640647581562682</v>
      </c>
      <c r="H105" s="38">
        <f>B105-D105</f>
        <v>9658.299999999997</v>
      </c>
      <c r="I105" s="41">
        <f t="shared" si="19"/>
        <v>42334.2</v>
      </c>
    </row>
    <row r="106" spans="1:9" ht="21" customHeight="1">
      <c r="A106" s="12" t="s">
        <v>12</v>
      </c>
      <c r="B106" s="104">
        <f>B12+B16+B72+B43+B22+B87+B37+B91+B48</f>
        <v>27491.8</v>
      </c>
      <c r="C106" s="104">
        <f>C12+C16+C72+C43+C22+C87+C37+C91+C48</f>
        <v>101664.4</v>
      </c>
      <c r="D106" s="104">
        <f>D12+D16+D72+D43+D22+D87+D37+D91+D48</f>
        <v>22846.899999999998</v>
      </c>
      <c r="E106" s="6">
        <f>D106/D102*100</f>
        <v>2.9247056847607413</v>
      </c>
      <c r="F106" s="6">
        <f>D106/B106*100</f>
        <v>83.104416589674</v>
      </c>
      <c r="G106" s="6">
        <f t="shared" si="17"/>
        <v>22.47286169003112</v>
      </c>
      <c r="H106" s="38">
        <f t="shared" si="18"/>
        <v>4644.9000000000015</v>
      </c>
      <c r="I106" s="41">
        <f t="shared" si="19"/>
        <v>78817.5</v>
      </c>
    </row>
    <row r="107" spans="1:9" ht="17.25">
      <c r="A107" s="12" t="s">
        <v>2</v>
      </c>
      <c r="B107" s="37">
        <f>B9+B28+B34</f>
        <v>139.3</v>
      </c>
      <c r="C107" s="37">
        <f>C9+C28+C34</f>
        <v>189.4</v>
      </c>
      <c r="D107" s="37">
        <f>D9+D28+D34</f>
        <v>57.9</v>
      </c>
      <c r="E107" s="6">
        <f>D107/D102*100</f>
        <v>0.007411966575231078</v>
      </c>
      <c r="F107" s="6">
        <f t="shared" si="20"/>
        <v>41.56496769562096</v>
      </c>
      <c r="G107" s="6">
        <f t="shared" si="17"/>
        <v>30.570221752903905</v>
      </c>
      <c r="H107" s="38">
        <f t="shared" si="18"/>
        <v>81.4</v>
      </c>
      <c r="I107" s="41">
        <f t="shared" si="19"/>
        <v>131.5</v>
      </c>
    </row>
    <row r="108" spans="1:9" ht="18" thickBot="1">
      <c r="A108" s="60" t="s">
        <v>25</v>
      </c>
      <c r="B108" s="42">
        <f>B102-B103-B104-B105-B106-B107</f>
        <v>428208.4</v>
      </c>
      <c r="C108" s="42">
        <f>C102-C103-C104-C105-C106-C107</f>
        <v>1305426.4000000008</v>
      </c>
      <c r="D108" s="42">
        <f>D102-D103-D104-D105-D106-D107</f>
        <v>364324.1999999999</v>
      </c>
      <c r="E108" s="20">
        <f>D108/D102*100</f>
        <v>46.63832112172369</v>
      </c>
      <c r="F108" s="20">
        <f t="shared" si="20"/>
        <v>85.08104932084468</v>
      </c>
      <c r="G108" s="20">
        <f t="shared" si="17"/>
        <v>27.90844432133437</v>
      </c>
      <c r="H108" s="61">
        <f t="shared" si="18"/>
        <v>63884.20000000013</v>
      </c>
      <c r="I108" s="61">
        <f t="shared" si="19"/>
        <v>941102.2000000009</v>
      </c>
    </row>
    <row r="109" spans="7:8" ht="12.75">
      <c r="G109" s="102"/>
      <c r="H109" s="102"/>
    </row>
    <row r="110" spans="2:9" ht="12.75">
      <c r="B110" s="103"/>
      <c r="C110" s="103"/>
      <c r="G110" s="102"/>
      <c r="H110" s="102"/>
      <c r="I110" s="102"/>
    </row>
    <row r="111" spans="4:8" ht="12.75">
      <c r="D111" s="100"/>
      <c r="G111" s="102"/>
      <c r="H111" s="102"/>
    </row>
    <row r="112" spans="2:8" ht="12.75">
      <c r="B112" s="103"/>
      <c r="G112" s="102"/>
      <c r="H112" s="102"/>
    </row>
    <row r="113" spans="2:8" ht="12.75">
      <c r="B113" s="103"/>
      <c r="C113" s="103"/>
      <c r="D113" s="100"/>
      <c r="G113" s="102"/>
      <c r="H113" s="102"/>
    </row>
    <row r="114" spans="7:8" ht="12.75">
      <c r="G114" s="102"/>
      <c r="H114" s="102"/>
    </row>
    <row r="115" spans="2:8" ht="12.75">
      <c r="B115" s="103"/>
      <c r="C115" s="103"/>
      <c r="D115" s="103"/>
      <c r="G115" s="102"/>
      <c r="H115" s="102"/>
    </row>
    <row r="116" spans="2:8" ht="12.75">
      <c r="B116" s="103"/>
      <c r="G116" s="102"/>
      <c r="H116" s="102"/>
    </row>
    <row r="117" spans="2:8" ht="12.75">
      <c r="B117" s="103"/>
      <c r="C117" s="100"/>
      <c r="G117" s="102"/>
      <c r="H117" s="102"/>
    </row>
    <row r="118" spans="7:8" ht="12.75">
      <c r="G118" s="102"/>
      <c r="H118" s="102"/>
    </row>
    <row r="119" spans="7:8" ht="12.75">
      <c r="G119" s="102"/>
      <c r="H119" s="102"/>
    </row>
    <row r="120" spans="7:8" ht="12.75">
      <c r="G120" s="102"/>
      <c r="H120" s="102"/>
    </row>
    <row r="121" spans="7:8" ht="12.75">
      <c r="G121" s="102"/>
      <c r="H121" s="102"/>
    </row>
    <row r="122" spans="7:8" ht="12.75">
      <c r="G122" s="102"/>
      <c r="H122" s="102"/>
    </row>
    <row r="123" spans="3:8" ht="12.75">
      <c r="C123" s="100"/>
      <c r="G123" s="102"/>
      <c r="H123" s="102"/>
    </row>
    <row r="124" spans="7:8" ht="12.75">
      <c r="G124" s="102"/>
      <c r="H124" s="102"/>
    </row>
    <row r="125" spans="7:8" ht="12.75">
      <c r="G125" s="102"/>
      <c r="H125" s="102"/>
    </row>
    <row r="126" spans="7:8" ht="12.75">
      <c r="G126" s="102"/>
      <c r="H126" s="102"/>
    </row>
    <row r="127" spans="7:8" ht="12.75">
      <c r="G127" s="102"/>
      <c r="H127" s="102"/>
    </row>
    <row r="128" spans="7:8" ht="12.75">
      <c r="G128" s="102"/>
      <c r="H128" s="102"/>
    </row>
    <row r="129" spans="7:8" ht="12.75">
      <c r="G129" s="102"/>
      <c r="H129" s="102"/>
    </row>
    <row r="130" spans="7:8" ht="12.75">
      <c r="G130" s="102"/>
      <c r="H130" s="102"/>
    </row>
    <row r="131" spans="7:8" ht="12.75">
      <c r="G131" s="102"/>
      <c r="H131" s="102"/>
    </row>
    <row r="132" spans="7:8" ht="12.75">
      <c r="G132" s="102"/>
      <c r="H132" s="102"/>
    </row>
    <row r="133" spans="7:8" ht="12.75">
      <c r="G133" s="102"/>
      <c r="H133" s="102"/>
    </row>
    <row r="134" spans="7:8" ht="12.75">
      <c r="G134" s="102"/>
      <c r="H134" s="102"/>
    </row>
    <row r="135" spans="7:8" ht="12.75">
      <c r="G135" s="102"/>
      <c r="H135" s="102"/>
    </row>
    <row r="136" spans="7:8" ht="12.75">
      <c r="G136" s="102"/>
      <c r="H136" s="102"/>
    </row>
    <row r="137" spans="7:8" ht="12.75">
      <c r="G137" s="102"/>
      <c r="H137" s="102"/>
    </row>
    <row r="138" spans="7:8" ht="12.75">
      <c r="G138" s="102"/>
      <c r="H138" s="102"/>
    </row>
    <row r="139" spans="7:8" ht="12.75">
      <c r="G139" s="102"/>
      <c r="H139" s="102"/>
    </row>
    <row r="140" spans="7:8" ht="12.75">
      <c r="G140" s="102"/>
      <c r="H140" s="102"/>
    </row>
    <row r="141" spans="7:8" ht="12.75">
      <c r="G141" s="102"/>
      <c r="H141" s="102"/>
    </row>
    <row r="142" spans="7:8" ht="12.75">
      <c r="G142" s="102"/>
      <c r="H142" s="102"/>
    </row>
    <row r="143" spans="7:8" ht="12.75">
      <c r="G143" s="102"/>
      <c r="H143" s="102"/>
    </row>
    <row r="144" spans="7:8" ht="12.75">
      <c r="G144" s="102"/>
      <c r="H144" s="102"/>
    </row>
    <row r="145" spans="7:8" ht="12.75">
      <c r="G145" s="102"/>
      <c r="H145" s="102"/>
    </row>
    <row r="146" spans="7:8" ht="12.75">
      <c r="G146" s="102"/>
      <c r="H146" s="102"/>
    </row>
    <row r="147" spans="7:8" ht="12.75">
      <c r="G147" s="102"/>
      <c r="H147" s="102"/>
    </row>
    <row r="148" spans="7:8" ht="12.75">
      <c r="G148" s="102"/>
      <c r="H148" s="102"/>
    </row>
    <row r="149" spans="7:8" ht="12.75">
      <c r="G149" s="102"/>
      <c r="H149" s="102"/>
    </row>
    <row r="150" spans="7:8" ht="12.75">
      <c r="G150" s="102"/>
      <c r="H150" s="102"/>
    </row>
    <row r="151" spans="7:8" ht="12.75">
      <c r="G151" s="102"/>
      <c r="H151" s="102"/>
    </row>
    <row r="152" spans="7:8" ht="12.75">
      <c r="G152" s="102"/>
      <c r="H152" s="102"/>
    </row>
    <row r="153" spans="7:8" ht="12.75">
      <c r="G153" s="102"/>
      <c r="H153" s="102"/>
    </row>
    <row r="154" spans="7:8" ht="12.75">
      <c r="G154" s="102"/>
      <c r="H154" s="102"/>
    </row>
    <row r="155" spans="7:8" ht="12.75">
      <c r="G155" s="102"/>
      <c r="H155" s="102"/>
    </row>
    <row r="156" spans="7:8" ht="12.75">
      <c r="G156" s="102"/>
      <c r="H156" s="102"/>
    </row>
    <row r="157" spans="7:8" ht="12.75">
      <c r="G157" s="102"/>
      <c r="H157" s="102"/>
    </row>
    <row r="158" spans="7:8" ht="12.75">
      <c r="G158" s="102"/>
      <c r="H158" s="102"/>
    </row>
    <row r="159" spans="7:8" ht="12.75">
      <c r="G159" s="102"/>
      <c r="H159" s="102"/>
    </row>
    <row r="160" spans="7:8" ht="12.75">
      <c r="G160" s="102"/>
      <c r="H160" s="102"/>
    </row>
    <row r="161" spans="7:8" ht="12.75">
      <c r="G161" s="102"/>
      <c r="H161" s="102"/>
    </row>
    <row r="162" spans="7:8" ht="12.75">
      <c r="G162" s="102"/>
      <c r="H162" s="102"/>
    </row>
    <row r="163" spans="7:8" ht="12.75">
      <c r="G163" s="102"/>
      <c r="H163" s="102"/>
    </row>
    <row r="164" spans="7:8" ht="12.75">
      <c r="G164" s="102"/>
      <c r="H164" s="102"/>
    </row>
    <row r="165" spans="7:8" ht="12.75">
      <c r="G165" s="102"/>
      <c r="H165" s="102"/>
    </row>
    <row r="166" spans="7:8" ht="12.75">
      <c r="G166" s="102"/>
      <c r="H166" s="102"/>
    </row>
    <row r="167" spans="7:8" ht="12.75">
      <c r="G167" s="102"/>
      <c r="H167" s="102"/>
    </row>
    <row r="168" spans="7:8" ht="12.75">
      <c r="G168" s="102"/>
      <c r="H168" s="102"/>
    </row>
    <row r="169" spans="7:8" ht="12.75">
      <c r="G169" s="102"/>
      <c r="H169" s="102"/>
    </row>
    <row r="170" spans="7:8" ht="12.75">
      <c r="G170" s="102"/>
      <c r="H170" s="102"/>
    </row>
    <row r="171" spans="7:8" ht="12.75">
      <c r="G171" s="102"/>
      <c r="H171" s="102"/>
    </row>
    <row r="172" spans="7:8" ht="12.75">
      <c r="G172" s="102"/>
      <c r="H172" s="102"/>
    </row>
    <row r="173" spans="7:8" ht="12.75">
      <c r="G173" s="102"/>
      <c r="H173" s="102"/>
    </row>
    <row r="174" spans="7:8" ht="12.75">
      <c r="G174" s="102"/>
      <c r="H174" s="102"/>
    </row>
    <row r="175" spans="7:8" ht="12.75">
      <c r="G175" s="102"/>
      <c r="H175" s="102"/>
    </row>
    <row r="176" spans="7:8" ht="12.75">
      <c r="G176" s="102"/>
      <c r="H176" s="102"/>
    </row>
    <row r="177" spans="7:8" ht="12.75">
      <c r="G177" s="102"/>
      <c r="H177" s="102"/>
    </row>
    <row r="178" spans="7:8" ht="12.75">
      <c r="G178" s="102"/>
      <c r="H178" s="102"/>
    </row>
    <row r="179" spans="7:8" ht="12.75">
      <c r="G179" s="102"/>
      <c r="H179" s="102"/>
    </row>
    <row r="180" spans="7:8" ht="12.75">
      <c r="G180" s="102"/>
      <c r="H180" s="102"/>
    </row>
    <row r="181" spans="7:8" ht="12.75">
      <c r="G181" s="102"/>
      <c r="H181" s="102"/>
    </row>
    <row r="182" spans="7:8" ht="12.75">
      <c r="G182" s="102"/>
      <c r="H182" s="102"/>
    </row>
    <row r="183" spans="7:8" ht="12.75">
      <c r="G183" s="102"/>
      <c r="H183" s="102"/>
    </row>
    <row r="184" spans="7:8" ht="12.75">
      <c r="G184" s="102"/>
      <c r="H184" s="102"/>
    </row>
    <row r="185" spans="7:8" ht="12.75">
      <c r="G185" s="102"/>
      <c r="H185" s="102"/>
    </row>
    <row r="186" spans="7:8" ht="12.75">
      <c r="G186" s="102"/>
      <c r="H186" s="102"/>
    </row>
    <row r="187" spans="7:8" ht="12.75">
      <c r="G187" s="102"/>
      <c r="H187" s="102"/>
    </row>
    <row r="188" spans="7:8" ht="12.75">
      <c r="G188" s="102"/>
      <c r="H188" s="102"/>
    </row>
    <row r="189" spans="7:8" ht="12.75">
      <c r="G189" s="102"/>
      <c r="H189" s="102"/>
    </row>
    <row r="190" spans="7:8" ht="12.75">
      <c r="G190" s="102"/>
      <c r="H190" s="102"/>
    </row>
    <row r="191" spans="7:8" ht="12.75">
      <c r="G191" s="102"/>
      <c r="H191" s="102"/>
    </row>
    <row r="192" spans="7:8" ht="12.75">
      <c r="G192" s="102"/>
      <c r="H192" s="102"/>
    </row>
    <row r="193" spans="7:8" ht="12.75">
      <c r="G193" s="102"/>
      <c r="H193" s="102"/>
    </row>
    <row r="194" spans="7:8" ht="12.75">
      <c r="G194" s="102"/>
      <c r="H194" s="102"/>
    </row>
    <row r="195" spans="7:8" ht="12.75">
      <c r="G195" s="102"/>
      <c r="H195" s="102"/>
    </row>
    <row r="196" spans="7:8" ht="12.75">
      <c r="G196" s="102"/>
      <c r="H196" s="102"/>
    </row>
    <row r="197" spans="7:8" ht="12.75">
      <c r="G197" s="102"/>
      <c r="H197" s="102"/>
    </row>
    <row r="198" spans="7:8" ht="12.75">
      <c r="G198" s="102"/>
      <c r="H198" s="102"/>
    </row>
    <row r="199" spans="7:8" ht="12.75">
      <c r="G199" s="102"/>
      <c r="H199" s="102"/>
    </row>
    <row r="200" spans="7:8" ht="12.75">
      <c r="G200" s="102"/>
      <c r="H200" s="102"/>
    </row>
    <row r="201" spans="7:8" ht="12.75">
      <c r="G201" s="102"/>
      <c r="H201" s="102"/>
    </row>
    <row r="202" spans="7:8" ht="12.75">
      <c r="G202" s="102"/>
      <c r="H202" s="102"/>
    </row>
    <row r="203" spans="7:8" ht="12.75">
      <c r="G203" s="102"/>
      <c r="H203" s="102"/>
    </row>
    <row r="204" spans="7:8" ht="12.75">
      <c r="G204" s="102"/>
      <c r="H204" s="102"/>
    </row>
    <row r="205" spans="7:8" ht="12.75">
      <c r="G205" s="102"/>
      <c r="H205" s="102"/>
    </row>
    <row r="206" spans="7:8" ht="12.75">
      <c r="G206" s="102"/>
      <c r="H206" s="102"/>
    </row>
    <row r="207" spans="7:8" ht="12.75">
      <c r="G207" s="102"/>
      <c r="H207" s="102"/>
    </row>
    <row r="208" spans="7:8" ht="12.75">
      <c r="G208" s="102"/>
      <c r="H208" s="102"/>
    </row>
    <row r="209" spans="7:8" ht="12.75">
      <c r="G209" s="102"/>
      <c r="H209" s="102"/>
    </row>
    <row r="210" spans="7:8" ht="12.75">
      <c r="G210" s="102"/>
      <c r="H210" s="102"/>
    </row>
    <row r="211" spans="7:8" ht="12.75">
      <c r="G211" s="102"/>
      <c r="H211" s="102"/>
    </row>
    <row r="212" spans="7:8" ht="12.75">
      <c r="G212" s="102"/>
      <c r="H212" s="102"/>
    </row>
    <row r="213" spans="7:8" ht="12.75">
      <c r="G213" s="102"/>
      <c r="H213" s="102"/>
    </row>
    <row r="214" spans="7:8" ht="12.75">
      <c r="G214" s="102"/>
      <c r="H214" s="102"/>
    </row>
    <row r="215" spans="7:8" ht="12.75">
      <c r="G215" s="102"/>
      <c r="H215" s="102"/>
    </row>
    <row r="216" spans="7:8" ht="12.75">
      <c r="G216" s="102"/>
      <c r="H216" s="102"/>
    </row>
    <row r="217" spans="7:8" ht="12.75">
      <c r="G217" s="102"/>
      <c r="H217" s="102"/>
    </row>
    <row r="218" spans="7:8" ht="12.75">
      <c r="G218" s="102"/>
      <c r="H218" s="102"/>
    </row>
    <row r="219" spans="7:8" ht="12.75">
      <c r="G219" s="102"/>
      <c r="H219" s="102"/>
    </row>
    <row r="220" spans="7:8" ht="12.75">
      <c r="G220" s="102"/>
      <c r="H220" s="102"/>
    </row>
    <row r="221" spans="7:8" ht="12.75">
      <c r="G221" s="102"/>
      <c r="H221" s="102"/>
    </row>
    <row r="222" spans="7:8" ht="12.75">
      <c r="G222" s="102"/>
      <c r="H222" s="102"/>
    </row>
    <row r="223" spans="7:8" ht="12.75">
      <c r="G223" s="102"/>
      <c r="H223" s="102"/>
    </row>
    <row r="224" spans="7:8" ht="12.75">
      <c r="G224" s="102"/>
      <c r="H224" s="102"/>
    </row>
    <row r="225" spans="7:8" ht="12.75">
      <c r="G225" s="102"/>
      <c r="H225" s="102"/>
    </row>
    <row r="226" spans="7:8" ht="12.75">
      <c r="G226" s="102"/>
      <c r="H226" s="102"/>
    </row>
    <row r="227" spans="7:8" ht="12.75">
      <c r="G227" s="102"/>
      <c r="H227" s="102"/>
    </row>
    <row r="228" spans="7:8" ht="12.75">
      <c r="G228" s="102"/>
      <c r="H228" s="102"/>
    </row>
    <row r="229" spans="7:8" ht="12.75">
      <c r="G229" s="102"/>
      <c r="H229" s="102"/>
    </row>
    <row r="230" spans="7:8" ht="12.75">
      <c r="G230" s="102"/>
      <c r="H230" s="102"/>
    </row>
    <row r="231" spans="7:8" ht="12.75">
      <c r="G231" s="102"/>
      <c r="H231" s="102"/>
    </row>
    <row r="232" spans="7:8" ht="12.75">
      <c r="G232" s="102"/>
      <c r="H232" s="102"/>
    </row>
    <row r="233" spans="7:8" ht="12.75">
      <c r="G233" s="102"/>
      <c r="H233" s="102"/>
    </row>
    <row r="234" spans="7:8" ht="12.75">
      <c r="G234" s="102"/>
      <c r="H234" s="102"/>
    </row>
    <row r="235" spans="7:8" ht="12.75">
      <c r="G235" s="102"/>
      <c r="H235" s="102"/>
    </row>
    <row r="236" spans="7:8" ht="12.75">
      <c r="G236" s="102"/>
      <c r="H236" s="102"/>
    </row>
    <row r="237" spans="7:8" ht="12.75">
      <c r="G237" s="102"/>
      <c r="H237" s="102"/>
    </row>
    <row r="238" spans="7:8" ht="12.75">
      <c r="G238" s="102"/>
      <c r="H238" s="102"/>
    </row>
    <row r="239" spans="7:8" ht="12.75">
      <c r="G239" s="102"/>
      <c r="H239" s="102"/>
    </row>
    <row r="240" spans="7:8" ht="12.75">
      <c r="G240" s="102"/>
      <c r="H240" s="102"/>
    </row>
    <row r="241" spans="7:8" ht="12.75">
      <c r="G241" s="102"/>
      <c r="H241" s="102"/>
    </row>
    <row r="242" spans="7:8" ht="12.75">
      <c r="G242" s="102"/>
      <c r="H242" s="102"/>
    </row>
    <row r="243" spans="7:8" ht="12.75">
      <c r="G243" s="102"/>
      <c r="H243" s="102"/>
    </row>
    <row r="244" spans="7:8" ht="12.75">
      <c r="G244" s="102"/>
      <c r="H244" s="102"/>
    </row>
    <row r="245" spans="7:8" ht="12.75">
      <c r="G245" s="102"/>
      <c r="H245" s="102"/>
    </row>
    <row r="246" spans="7:8" ht="12.75">
      <c r="G246" s="102"/>
      <c r="H246" s="102"/>
    </row>
    <row r="247" spans="7:8" ht="12.75">
      <c r="G247" s="102"/>
      <c r="H247" s="102"/>
    </row>
    <row r="248" spans="7:8" ht="12.75">
      <c r="G248" s="102"/>
      <c r="H248" s="102"/>
    </row>
    <row r="249" spans="7:8" ht="12.75">
      <c r="G249" s="102"/>
      <c r="H249" s="102"/>
    </row>
    <row r="250" spans="7:8" ht="12.75">
      <c r="G250" s="102"/>
      <c r="H250" s="102"/>
    </row>
    <row r="251" spans="7:8" ht="12.75">
      <c r="G251" s="102"/>
      <c r="H251" s="102"/>
    </row>
    <row r="252" spans="7:8" ht="12.75">
      <c r="G252" s="102"/>
      <c r="H252" s="102"/>
    </row>
    <row r="253" spans="7:8" ht="12.75">
      <c r="G253" s="102"/>
      <c r="H253" s="102"/>
    </row>
    <row r="254" spans="7:8" ht="12.75">
      <c r="G254" s="102"/>
      <c r="H254" s="102"/>
    </row>
    <row r="255" spans="7:8" ht="12.75">
      <c r="G255" s="102"/>
      <c r="H255" s="102"/>
    </row>
    <row r="256" spans="7:8" ht="12.75">
      <c r="G256" s="102"/>
      <c r="H256" s="102"/>
    </row>
    <row r="257" spans="7:8" ht="12.75">
      <c r="G257" s="102"/>
      <c r="H257" s="102"/>
    </row>
    <row r="258" spans="7:8" ht="12.75">
      <c r="G258" s="102"/>
      <c r="H258" s="102"/>
    </row>
    <row r="259" spans="7:8" ht="12.75">
      <c r="G259" s="102"/>
      <c r="H259" s="102"/>
    </row>
    <row r="260" spans="7:8" ht="12.75">
      <c r="G260" s="102"/>
      <c r="H260" s="102"/>
    </row>
    <row r="261" spans="7:8" ht="12.75">
      <c r="G261" s="102"/>
      <c r="H261" s="102"/>
    </row>
    <row r="262" spans="7:8" ht="12.75">
      <c r="G262" s="102"/>
      <c r="H262" s="102"/>
    </row>
    <row r="263" spans="7:8" ht="12.75">
      <c r="G263" s="102"/>
      <c r="H263" s="102"/>
    </row>
    <row r="264" spans="7:8" ht="12.75">
      <c r="G264" s="102"/>
      <c r="H264" s="102"/>
    </row>
    <row r="265" spans="7:8" ht="12.75">
      <c r="G265" s="102"/>
      <c r="H265" s="102"/>
    </row>
    <row r="266" spans="7:8" ht="12.75">
      <c r="G266" s="102"/>
      <c r="H266" s="102"/>
    </row>
    <row r="267" spans="7:8" ht="12.75">
      <c r="G267" s="102"/>
      <c r="H267" s="102"/>
    </row>
    <row r="268" spans="7:8" ht="12.75">
      <c r="G268" s="102"/>
      <c r="H268" s="102"/>
    </row>
    <row r="269" spans="7:8" ht="12.75">
      <c r="G269" s="102"/>
      <c r="H269" s="102"/>
    </row>
    <row r="270" spans="7:8" ht="12.75">
      <c r="G270" s="102"/>
      <c r="H270" s="102"/>
    </row>
    <row r="271" spans="7:8" ht="12.75">
      <c r="G271" s="102"/>
      <c r="H271" s="102"/>
    </row>
    <row r="272" spans="7:8" ht="12.75">
      <c r="G272" s="102"/>
      <c r="H272" s="102"/>
    </row>
    <row r="273" spans="7:8" ht="12.75">
      <c r="G273" s="102"/>
      <c r="H273" s="102"/>
    </row>
    <row r="274" spans="7:8" ht="12.75">
      <c r="G274" s="102"/>
      <c r="H274" s="102"/>
    </row>
    <row r="275" spans="7:8" ht="12.75">
      <c r="G275" s="102"/>
      <c r="H275" s="102"/>
    </row>
    <row r="276" spans="7:8" ht="12.75">
      <c r="G276" s="102"/>
      <c r="H276" s="102"/>
    </row>
    <row r="277" spans="7:8" ht="12.75">
      <c r="G277" s="102"/>
      <c r="H277" s="102"/>
    </row>
    <row r="278" spans="7:8" ht="12.75">
      <c r="G278" s="102"/>
      <c r="H278" s="102"/>
    </row>
    <row r="279" spans="7:8" ht="12.75">
      <c r="G279" s="102"/>
      <c r="H279" s="102"/>
    </row>
    <row r="280" spans="7:8" ht="12.75">
      <c r="G280" s="102"/>
      <c r="H280" s="102"/>
    </row>
    <row r="281" spans="7:8" ht="12.75">
      <c r="G281" s="102"/>
      <c r="H281" s="102"/>
    </row>
    <row r="282" spans="7:8" ht="12.75">
      <c r="G282" s="102"/>
      <c r="H282" s="102"/>
    </row>
    <row r="283" spans="7:8" ht="12.75">
      <c r="G283" s="102"/>
      <c r="H283" s="102"/>
    </row>
    <row r="284" spans="7:8" ht="12.75">
      <c r="G284" s="102"/>
      <c r="H284" s="102"/>
    </row>
    <row r="285" spans="7:8" ht="12.75">
      <c r="G285" s="102"/>
      <c r="H285" s="102"/>
    </row>
    <row r="286" spans="7:8" ht="12.75">
      <c r="G286" s="102"/>
      <c r="H286" s="102"/>
    </row>
    <row r="287" spans="7:8" ht="12.75">
      <c r="G287" s="102"/>
      <c r="H287" s="102"/>
    </row>
    <row r="288" spans="7:8" ht="12.75">
      <c r="G288" s="102"/>
      <c r="H288" s="102"/>
    </row>
    <row r="289" spans="7:8" ht="12.75">
      <c r="G289" s="102"/>
      <c r="H289" s="102"/>
    </row>
    <row r="290" spans="7:8" ht="12.75">
      <c r="G290" s="102"/>
      <c r="H290" s="102"/>
    </row>
    <row r="291" spans="7:8" ht="12.75">
      <c r="G291" s="102"/>
      <c r="H291" s="102"/>
    </row>
    <row r="292" spans="7:8" ht="12.75">
      <c r="G292" s="102"/>
      <c r="H292" s="102"/>
    </row>
    <row r="293" spans="7:8" ht="12.75">
      <c r="G293" s="102"/>
      <c r="H293" s="102"/>
    </row>
    <row r="294" spans="7:8" ht="12.75">
      <c r="G294" s="102"/>
      <c r="H294" s="102"/>
    </row>
    <row r="295" spans="7:8" ht="12.75">
      <c r="G295" s="102"/>
      <c r="H295" s="102"/>
    </row>
    <row r="296" spans="7:8" ht="12.75">
      <c r="G296" s="102"/>
      <c r="H296" s="102"/>
    </row>
    <row r="297" spans="7:8" ht="12.75">
      <c r="G297" s="102"/>
      <c r="H297" s="102"/>
    </row>
    <row r="298" spans="7:8" ht="12.75">
      <c r="G298" s="102"/>
      <c r="H298" s="102"/>
    </row>
    <row r="299" spans="7:8" ht="12.75">
      <c r="G299" s="102"/>
      <c r="H299" s="102"/>
    </row>
    <row r="300" spans="7:8" ht="12.75">
      <c r="G300" s="102"/>
      <c r="H300" s="102"/>
    </row>
    <row r="301" spans="7:8" ht="12.75">
      <c r="G301" s="102"/>
      <c r="H301" s="102"/>
    </row>
    <row r="302" spans="7:8" ht="12.75">
      <c r="G302" s="102"/>
      <c r="H302" s="102"/>
    </row>
    <row r="303" spans="7:8" ht="12.75">
      <c r="G303" s="102"/>
      <c r="H303" s="102"/>
    </row>
    <row r="304" spans="7:8" ht="12.75">
      <c r="G304" s="102"/>
      <c r="H304" s="102"/>
    </row>
    <row r="305" spans="7:8" ht="12.75">
      <c r="G305" s="102"/>
      <c r="H305" s="102"/>
    </row>
    <row r="306" spans="7:8" ht="12.75">
      <c r="G306" s="102"/>
      <c r="H306" s="102"/>
    </row>
    <row r="307" spans="7:8" ht="12.75">
      <c r="G307" s="102"/>
      <c r="H307" s="102"/>
    </row>
    <row r="308" spans="7:8" ht="12.75">
      <c r="G308" s="102"/>
      <c r="H308" s="102"/>
    </row>
    <row r="309" spans="7:8" ht="12.75">
      <c r="G309" s="102"/>
      <c r="H309" s="102"/>
    </row>
    <row r="310" spans="7:8" ht="12.75">
      <c r="G310" s="102"/>
      <c r="H310" s="102"/>
    </row>
    <row r="311" spans="7:8" ht="12.75">
      <c r="G311" s="102"/>
      <c r="H311" s="102"/>
    </row>
    <row r="312" spans="7:8" ht="12.75">
      <c r="G312" s="102"/>
      <c r="H312" s="102"/>
    </row>
    <row r="313" spans="7:8" ht="12.75">
      <c r="G313" s="102"/>
      <c r="H313" s="102"/>
    </row>
    <row r="314" spans="7:8" ht="12.75">
      <c r="G314" s="102"/>
      <c r="H314" s="102"/>
    </row>
    <row r="315" spans="7:8" ht="12.75">
      <c r="G315" s="102"/>
      <c r="H315" s="102"/>
    </row>
    <row r="316" spans="7:8" ht="12.75">
      <c r="G316" s="102"/>
      <c r="H316" s="102"/>
    </row>
    <row r="317" spans="7:8" ht="12.75">
      <c r="G317" s="102"/>
      <c r="H317" s="102"/>
    </row>
    <row r="318" spans="7:8" ht="12.75">
      <c r="G318" s="102"/>
      <c r="H318" s="102"/>
    </row>
    <row r="319" spans="7:8" ht="12.75">
      <c r="G319" s="102"/>
      <c r="H319" s="102"/>
    </row>
    <row r="320" spans="7:8" ht="12.75">
      <c r="G320" s="102"/>
      <c r="H320" s="102"/>
    </row>
    <row r="321" spans="7:8" ht="12.75">
      <c r="G321" s="102"/>
      <c r="H321" s="102"/>
    </row>
    <row r="322" spans="7:8" ht="12.75">
      <c r="G322" s="102"/>
      <c r="H322" s="102"/>
    </row>
    <row r="323" spans="7:8" ht="12.75">
      <c r="G323" s="102"/>
      <c r="H323" s="102"/>
    </row>
    <row r="324" spans="7:8" ht="12.75">
      <c r="G324" s="102"/>
      <c r="H324" s="102"/>
    </row>
    <row r="325" spans="7:8" ht="12.75">
      <c r="G325" s="102"/>
      <c r="H325" s="102"/>
    </row>
    <row r="326" spans="7:8" ht="12.75">
      <c r="G326" s="102"/>
      <c r="H326" s="102"/>
    </row>
    <row r="327" spans="7:8" ht="12.75">
      <c r="G327" s="102"/>
      <c r="H327" s="102"/>
    </row>
    <row r="328" spans="7:8" ht="12.75">
      <c r="G328" s="102"/>
      <c r="H328" s="102"/>
    </row>
    <row r="329" spans="7:8" ht="12.75">
      <c r="G329" s="102"/>
      <c r="H329" s="102"/>
    </row>
    <row r="330" spans="7:8" ht="12.75">
      <c r="G330" s="102"/>
      <c r="H330" s="102"/>
    </row>
    <row r="331" spans="7:8" ht="12.75">
      <c r="G331" s="102"/>
      <c r="H331" s="102"/>
    </row>
    <row r="332" spans="7:8" ht="12.75">
      <c r="G332" s="102"/>
      <c r="H332" s="102"/>
    </row>
    <row r="333" spans="7:8" ht="12.75">
      <c r="G333" s="102"/>
      <c r="H333" s="102"/>
    </row>
    <row r="334" spans="7:8" ht="12.75">
      <c r="G334" s="102"/>
      <c r="H334" s="102"/>
    </row>
    <row r="335" spans="7:8" ht="12.75">
      <c r="G335" s="102"/>
      <c r="H335" s="102"/>
    </row>
    <row r="336" spans="7:8" ht="12.75">
      <c r="G336" s="102"/>
      <c r="H336" s="102"/>
    </row>
    <row r="337" spans="7:8" ht="12.75">
      <c r="G337" s="102"/>
      <c r="H337" s="102"/>
    </row>
    <row r="338" spans="7:8" ht="12.75">
      <c r="G338" s="102"/>
      <c r="H338" s="102"/>
    </row>
    <row r="339" spans="7:8" ht="12.75">
      <c r="G339" s="102"/>
      <c r="H339" s="102"/>
    </row>
    <row r="340" spans="7:8" ht="12.75">
      <c r="G340" s="102"/>
      <c r="H340" s="102"/>
    </row>
    <row r="341" spans="7:8" ht="12.75">
      <c r="G341" s="102"/>
      <c r="H341" s="102"/>
    </row>
    <row r="342" spans="7:8" ht="12.75">
      <c r="G342" s="102"/>
      <c r="H342" s="102"/>
    </row>
    <row r="343" spans="7:8" ht="12.75">
      <c r="G343" s="102"/>
      <c r="H343" s="102"/>
    </row>
    <row r="344" spans="7:8" ht="12.75">
      <c r="G344" s="102"/>
      <c r="H344" s="102"/>
    </row>
    <row r="345" spans="7:8" ht="12.75">
      <c r="G345" s="102"/>
      <c r="H345" s="102"/>
    </row>
    <row r="346" spans="7:8" ht="12.75">
      <c r="G346" s="102"/>
      <c r="H346" s="102"/>
    </row>
    <row r="347" spans="7:8" ht="12.75">
      <c r="G347" s="102"/>
      <c r="H347" s="102"/>
    </row>
  </sheetData>
  <sheetProtection formatCells="0" formatColumns="0" formatRows="0" insertColumns="0" insertRows="0" insertHyperlinks="0" deleteColumns="0" deleteRows="0"/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E8:E13">
    <cfRule type="cellIs" priority="1" dxfId="1" operator="lessThan" stopIfTrue="1">
      <formula>0</formula>
    </cfRule>
  </conditionalFormatting>
  <conditionalFormatting sqref="H6:I108">
    <cfRule type="cellIs" priority="2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fitToHeight="0"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7">
      <selection activeCell="E3" sqref="E3"/>
    </sheetView>
  </sheetViews>
  <sheetFormatPr defaultColWidth="9.00390625" defaultRowHeight="12.75"/>
  <cols>
    <col min="5" max="5" width="18.875" style="0" customWidth="1"/>
  </cols>
  <sheetData>
    <row r="1" spans="1:5" ht="15">
      <c r="A1" s="4" t="s">
        <v>29</v>
      </c>
      <c r="B1" s="4"/>
      <c r="C1" s="4"/>
      <c r="D1" s="4" t="s">
        <v>27</v>
      </c>
      <c r="E1" s="5">
        <f>'аналіз фінансування '!C102</f>
        <v>2725972.2000000007</v>
      </c>
    </row>
    <row r="2" spans="1:5" ht="15">
      <c r="A2" s="4"/>
      <c r="B2" s="4"/>
      <c r="C2" s="4"/>
      <c r="D2" s="4" t="s">
        <v>28</v>
      </c>
      <c r="E2" s="5">
        <f>'аналіз фінансування '!D102</f>
        <v>781169.1999999998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28:J35"/>
  <sheetViews>
    <sheetView zoomScalePageLayoutView="0" workbookViewId="0" topLeftCell="A1">
      <selection activeCell="H28" sqref="H28:J28"/>
    </sheetView>
  </sheetViews>
  <sheetFormatPr defaultColWidth="9.00390625" defaultRowHeight="12.75"/>
  <sheetData>
    <row r="28" spans="8:10" ht="13.5">
      <c r="H28" s="154" t="s">
        <v>73</v>
      </c>
      <c r="I28" s="154"/>
      <c r="J28" s="154" t="s">
        <v>74</v>
      </c>
    </row>
    <row r="35" spans="7:9" ht="15">
      <c r="G35" s="153"/>
      <c r="H35" s="153"/>
      <c r="I35" s="15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I34:K34"/>
  <sheetViews>
    <sheetView zoomScalePageLayoutView="0" workbookViewId="0" topLeftCell="A7">
      <selection activeCell="I34" sqref="I34:K34"/>
    </sheetView>
  </sheetViews>
  <sheetFormatPr defaultColWidth="9.00390625" defaultRowHeight="12.75"/>
  <sheetData>
    <row r="34" spans="9:11" ht="13.5">
      <c r="I34" s="154" t="s">
        <v>73</v>
      </c>
      <c r="J34" s="154"/>
      <c r="K34" s="154" t="s">
        <v>74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I35:K35"/>
  <sheetViews>
    <sheetView zoomScalePageLayoutView="0" workbookViewId="0" topLeftCell="A13">
      <selection activeCell="I35" sqref="I35:K35"/>
    </sheetView>
  </sheetViews>
  <sheetFormatPr defaultColWidth="9.00390625" defaultRowHeight="12.75"/>
  <sheetData>
    <row r="35" spans="9:11" ht="13.5">
      <c r="I35" s="154" t="s">
        <v>73</v>
      </c>
      <c r="J35" s="154"/>
      <c r="K35" s="154" t="s">
        <v>74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I34:K34"/>
  <sheetViews>
    <sheetView zoomScalePageLayoutView="0" workbookViewId="0" topLeftCell="A12">
      <selection activeCell="I34" sqref="I34:K34"/>
    </sheetView>
  </sheetViews>
  <sheetFormatPr defaultColWidth="9.00390625" defaultRowHeight="12.75"/>
  <sheetData>
    <row r="34" spans="9:11" ht="13.5">
      <c r="I34" s="154" t="s">
        <v>73</v>
      </c>
      <c r="J34" s="154"/>
      <c r="K34" s="154" t="s">
        <v>74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H34:K34"/>
  <sheetViews>
    <sheetView zoomScalePageLayoutView="0" workbookViewId="0" topLeftCell="A19">
      <selection activeCell="K34" sqref="K34"/>
    </sheetView>
  </sheetViews>
  <sheetFormatPr defaultColWidth="9.00390625" defaultRowHeight="12.75"/>
  <sheetData>
    <row r="34" spans="8:11" ht="13.5">
      <c r="H34" s="154" t="s">
        <v>73</v>
      </c>
      <c r="I34" s="154"/>
      <c r="K34" s="154" t="s">
        <v>74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H34:J34"/>
  <sheetViews>
    <sheetView zoomScalePageLayoutView="0" workbookViewId="0" topLeftCell="A19">
      <selection activeCell="J34" sqref="J34"/>
    </sheetView>
  </sheetViews>
  <sheetFormatPr defaultColWidth="9.00390625" defaultRowHeight="12.75"/>
  <sheetData>
    <row r="34" spans="8:10" ht="13.5">
      <c r="H34" s="154" t="s">
        <v>73</v>
      </c>
      <c r="I34" s="154"/>
      <c r="J34" s="154" t="s">
        <v>74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I34:K34"/>
  <sheetViews>
    <sheetView zoomScalePageLayoutView="0" workbookViewId="0" topLeftCell="A1">
      <selection activeCell="O39" sqref="O39"/>
    </sheetView>
  </sheetViews>
  <sheetFormatPr defaultColWidth="9.00390625" defaultRowHeight="12.75"/>
  <cols>
    <col min="2" max="2" width="8.375" style="0" customWidth="1"/>
  </cols>
  <sheetData>
    <row r="34" spans="9:11" ht="13.5">
      <c r="I34" s="154" t="s">
        <v>73</v>
      </c>
      <c r="J34" s="154"/>
      <c r="K34" s="154" t="s">
        <v>74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7">
      <selection activeCell="S25" sqref="S25"/>
    </sheetView>
  </sheetViews>
  <sheetFormatPr defaultColWidth="9.00390625" defaultRowHeight="12.75"/>
  <cols>
    <col min="5" max="5" width="13.50390625" style="0" customWidth="1"/>
  </cols>
  <sheetData>
    <row r="1" spans="1:5" ht="15">
      <c r="A1" s="4" t="s">
        <v>29</v>
      </c>
      <c r="B1" s="4"/>
      <c r="C1" s="4"/>
      <c r="D1" s="4" t="s">
        <v>27</v>
      </c>
      <c r="E1" s="5">
        <f>'аналіз фінансування '!C102</f>
        <v>2725972.2000000007</v>
      </c>
    </row>
    <row r="2" spans="1:5" ht="15">
      <c r="A2" s="4"/>
      <c r="B2" s="4"/>
      <c r="C2" s="4"/>
      <c r="D2" s="4" t="s">
        <v>28</v>
      </c>
      <c r="E2" s="5">
        <f>'аналіз фінансування '!D102</f>
        <v>781169.1999999998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2020-05-04T05:47:43Z</cp:lastPrinted>
  <dcterms:created xsi:type="dcterms:W3CDTF">2000-06-20T04:48:00Z</dcterms:created>
  <dcterms:modified xsi:type="dcterms:W3CDTF">2020-05-05T09:08:50Z</dcterms:modified>
  <cp:category/>
  <cp:version/>
  <cp:contentType/>
  <cp:contentStatus/>
</cp:coreProperties>
</file>